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1.xml" ContentType="application/vnd.openxmlformats-officedocument.spreadsheetml.workshee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xl/ctrlProps/ctrlProp12.xml" ContentType="application/vnd.ms-excel.controlproperti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trlProps/ctrlProp20.xml" ContentType="application/vnd.ms-excel.contro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C:\Users\marnir\Box\AzAHEC\AHEC Program Office\AzAHEC Regional Centers\Competing Continuing Requests\Central Regional Center RFP\"/>
    </mc:Choice>
  </mc:AlternateContent>
  <xr:revisionPtr revIDLastSave="0" documentId="13_ncr:1_{D265A829-8747-48CD-B069-5C4DED31AB99}" xr6:coauthVersionLast="47" xr6:coauthVersionMax="47" xr10:uidLastSave="{00000000-0000-0000-0000-000000000000}"/>
  <workbookProtection workbookAlgorithmName="SHA-512" workbookHashValue="mjmyQDDym93l3B5d3vntCuPOvvPsg2rli1U9/+g5DTD0tFNCy7Y7W41aNpMxkYMXmiWdK/7QPyv/xjyz3+UuFg==" workbookSaltValue="yNj/cUlMN11iDebWI9nR2w==" workbookSpinCount="100000" lockStructure="1"/>
  <bookViews>
    <workbookView xWindow="28680" yWindow="-120" windowWidth="29040" windowHeight="15720" firstSheet="6" activeTab="8" xr2:uid="{4BD210CA-9F62-473E-9FC0-896D76A47261}"/>
  </bookViews>
  <sheets>
    <sheet name="Table of Contents" sheetId="2" r:id="rId1"/>
    <sheet name="Applicant Work Plan Checklist" sheetId="3" r:id="rId2"/>
    <sheet name="CBET SCHEDULE" sheetId="5" r:id="rId3"/>
    <sheet name="PERFORMANCE SCHEDULE" sheetId="6" r:id="rId4"/>
    <sheet name="ACTIVITIES SCHEDULE" sheetId="7" r:id="rId5"/>
    <sheet name="Applicant Workplan" sheetId="12" r:id="rId6"/>
    <sheet name="Goals and Budget Allocation" sheetId="1" r:id="rId7"/>
    <sheet name="Budget Template" sheetId="9" r:id="rId8"/>
    <sheet name="Budget Justification" sheetId="10" r:id="rId9"/>
    <sheet name="Worksheet to Calc Budget" sheetId="14" r:id="rId10"/>
    <sheet name="Lookup Tables- Do Not Modify" sheetId="13" r:id="rId11"/>
  </sheets>
  <definedNames>
    <definedName name="_Hlk38194973" localSheetId="1">'Applicant Work Plan Checklist'!$A$3</definedName>
    <definedName name="_Hlk38296774" localSheetId="0">'Table of Contents'!#REF!</definedName>
    <definedName name="_xlnm.Print_Area" localSheetId="7">'Budget Template'!$A$1:$M$77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0" l="1"/>
  <c r="C7" i="10"/>
  <c r="C8" i="10"/>
  <c r="C9" i="10"/>
  <c r="C10" i="10"/>
  <c r="C11" i="10"/>
  <c r="D6" i="10"/>
  <c r="D7" i="10"/>
  <c r="D8" i="10"/>
  <c r="D9" i="10"/>
  <c r="D10" i="10"/>
  <c r="D11" i="10"/>
  <c r="D5" i="10"/>
  <c r="B6" i="10"/>
  <c r="B7" i="10"/>
  <c r="B8" i="10"/>
  <c r="B9" i="10"/>
  <c r="B10" i="10"/>
  <c r="B11" i="10"/>
  <c r="B5" i="10"/>
  <c r="A11" i="10"/>
  <c r="A10" i="10"/>
  <c r="A9" i="10"/>
  <c r="A8" i="10"/>
  <c r="A7" i="10"/>
  <c r="A6" i="10"/>
  <c r="A5" i="10"/>
  <c r="C36" i="10"/>
  <c r="E36" i="10"/>
  <c r="L40" i="9"/>
  <c r="H70" i="9"/>
  <c r="B3" i="14"/>
  <c r="D3" i="14" s="1"/>
  <c r="F5" i="13" l="1"/>
  <c r="F6" i="13"/>
  <c r="F7" i="13"/>
  <c r="F8" i="13"/>
  <c r="F9" i="13"/>
  <c r="F10" i="13"/>
  <c r="E22" i="13"/>
  <c r="E46" i="13" s="1"/>
  <c r="F22" i="13"/>
  <c r="E23" i="13"/>
  <c r="F23" i="13"/>
  <c r="E24" i="13"/>
  <c r="F24" i="13"/>
  <c r="E25" i="13"/>
  <c r="F25" i="13"/>
  <c r="E26" i="13"/>
  <c r="F26" i="13"/>
  <c r="E27" i="13"/>
  <c r="F27" i="13"/>
  <c r="E28" i="13"/>
  <c r="E35" i="13"/>
  <c r="F35" i="13"/>
  <c r="E36" i="13"/>
  <c r="F36" i="13"/>
  <c r="F47" i="13" s="1"/>
  <c r="E37" i="13"/>
  <c r="F37" i="13"/>
  <c r="E38" i="13"/>
  <c r="E49" i="13" s="1"/>
  <c r="F38" i="13"/>
  <c r="F49" i="13" s="1"/>
  <c r="E39" i="13"/>
  <c r="E50" i="13" s="1"/>
  <c r="F39" i="13"/>
  <c r="E40" i="13"/>
  <c r="F40" i="13"/>
  <c r="E41" i="13"/>
  <c r="D46" i="13"/>
  <c r="F46" i="13"/>
  <c r="D47" i="13"/>
  <c r="E47" i="13"/>
  <c r="D48" i="13"/>
  <c r="E48" i="13"/>
  <c r="F48" i="13"/>
  <c r="D49" i="13"/>
  <c r="D50" i="13"/>
  <c r="F50" i="13"/>
  <c r="D51" i="13"/>
  <c r="E51" i="13"/>
  <c r="F51" i="13"/>
  <c r="D52" i="13"/>
  <c r="E52" i="13"/>
  <c r="F52" i="13"/>
  <c r="D55" i="13"/>
  <c r="E55" i="13"/>
  <c r="F55" i="13"/>
  <c r="L62" i="9" l="1"/>
  <c r="L52" i="9"/>
  <c r="H33" i="9"/>
  <c r="L33" i="9"/>
  <c r="L19" i="9"/>
  <c r="J8" i="9" l="1"/>
  <c r="K8" i="9" s="1"/>
  <c r="L8" i="9" s="1"/>
  <c r="F13" i="9"/>
  <c r="G13" i="9" s="1"/>
  <c r="F12" i="9"/>
  <c r="G12" i="9" s="1"/>
  <c r="F9" i="9"/>
  <c r="F8" i="9"/>
  <c r="E44" i="10"/>
  <c r="C44" i="10" s="1"/>
  <c r="E43" i="10"/>
  <c r="C43" i="10" s="1"/>
  <c r="E42" i="10"/>
  <c r="C42" i="10" s="1"/>
  <c r="E41" i="10"/>
  <c r="C41" i="10" s="1"/>
  <c r="E40" i="10"/>
  <c r="C40" i="10" s="1"/>
  <c r="E39" i="10"/>
  <c r="C39" i="10" s="1"/>
  <c r="E35" i="10"/>
  <c r="C35" i="10" s="1"/>
  <c r="E34" i="10"/>
  <c r="C34" i="10" s="1"/>
  <c r="E33" i="10"/>
  <c r="C33" i="10" s="1"/>
  <c r="E32" i="10"/>
  <c r="C32" i="10" s="1"/>
  <c r="E31" i="10"/>
  <c r="C31" i="10" s="1"/>
  <c r="E30" i="10"/>
  <c r="C30" i="10" s="1"/>
  <c r="E29" i="10"/>
  <c r="C29" i="10" s="1"/>
  <c r="E28" i="10"/>
  <c r="C28" i="10" s="1"/>
  <c r="E26" i="10"/>
  <c r="C26" i="10" s="1"/>
  <c r="E25" i="10"/>
  <c r="C25" i="10" s="1"/>
  <c r="E24" i="10"/>
  <c r="C24" i="10" s="1"/>
  <c r="E23" i="10"/>
  <c r="C23" i="10" s="1"/>
  <c r="E20" i="10"/>
  <c r="E19" i="10"/>
  <c r="D20" i="10"/>
  <c r="D19" i="10"/>
  <c r="E17" i="10"/>
  <c r="C17" i="10" s="1"/>
  <c r="E16" i="10"/>
  <c r="C16" i="10" s="1"/>
  <c r="I27" i="5"/>
  <c r="F13" i="5"/>
  <c r="I12" i="5"/>
  <c r="C15" i="9"/>
  <c r="I15" i="9"/>
  <c r="I5" i="5"/>
  <c r="G8" i="9" l="1"/>
  <c r="H8" i="9" s="1"/>
  <c r="M8" i="9" s="1"/>
  <c r="C5" i="10"/>
  <c r="C12" i="10" s="1"/>
  <c r="C13" i="10" s="1"/>
  <c r="G9" i="9"/>
  <c r="H9" i="9" s="1"/>
  <c r="H12" i="9"/>
  <c r="H13" i="9"/>
  <c r="C20" i="10"/>
  <c r="C19" i="10"/>
  <c r="M60" i="9"/>
  <c r="C45" i="10" l="1"/>
  <c r="C47" i="10" s="1"/>
  <c r="O9" i="1"/>
  <c r="O7" i="1"/>
  <c r="O3" i="1"/>
  <c r="E7" i="1"/>
  <c r="M9" i="1"/>
  <c r="M7" i="1"/>
  <c r="M3" i="1"/>
  <c r="K9" i="1"/>
  <c r="K7" i="1"/>
  <c r="K3" i="1"/>
  <c r="I3" i="1"/>
  <c r="I9" i="1"/>
  <c r="I7" i="1"/>
  <c r="G11" i="1"/>
  <c r="G9" i="1"/>
  <c r="G7" i="1"/>
  <c r="G3" i="1"/>
  <c r="E9" i="1"/>
  <c r="E3" i="1"/>
  <c r="I41" i="5"/>
  <c r="I40" i="5"/>
  <c r="I39" i="5"/>
  <c r="I38" i="5"/>
  <c r="I37" i="5"/>
  <c r="I36" i="5"/>
  <c r="I35" i="5"/>
  <c r="I34" i="5"/>
  <c r="I33" i="5"/>
  <c r="I32" i="5"/>
  <c r="I31" i="5"/>
  <c r="I30" i="5"/>
  <c r="I29" i="5"/>
  <c r="I28" i="5"/>
  <c r="M37" i="9" l="1"/>
  <c r="T13" i="9" l="1"/>
  <c r="U13" i="9" s="1"/>
  <c r="T12" i="9"/>
  <c r="U12" i="9" s="1"/>
  <c r="T11" i="9"/>
  <c r="U11" i="9" s="1"/>
  <c r="T8" i="9"/>
  <c r="U8" i="9" s="1"/>
  <c r="R8" i="9"/>
  <c r="S9" i="9"/>
  <c r="T9" i="9" s="1"/>
  <c r="U9" i="9" s="1"/>
  <c r="S10" i="9"/>
  <c r="T10" i="9" s="1"/>
  <c r="U10" i="9" s="1"/>
  <c r="R11" i="9"/>
  <c r="R12" i="9"/>
  <c r="R13" i="9"/>
  <c r="N13" i="9" l="1"/>
  <c r="N12" i="9"/>
  <c r="N11" i="9"/>
  <c r="N10" i="9"/>
  <c r="N9" i="9"/>
  <c r="N8" i="9"/>
  <c r="M42" i="9"/>
  <c r="K13" i="6" l="1"/>
  <c r="B4" i="14" s="1"/>
  <c r="D4" i="14" s="1"/>
  <c r="E4" i="14" s="1"/>
  <c r="I11" i="5" l="1"/>
  <c r="H62" i="9" l="1"/>
  <c r="M61" i="9"/>
  <c r="M59" i="9"/>
  <c r="M58" i="9"/>
  <c r="M57" i="9"/>
  <c r="M56" i="9"/>
  <c r="M55" i="9"/>
  <c r="M54" i="9"/>
  <c r="H52" i="9"/>
  <c r="M50" i="9"/>
  <c r="M49" i="9"/>
  <c r="M48" i="9"/>
  <c r="M47" i="9"/>
  <c r="M46" i="9"/>
  <c r="M45" i="9"/>
  <c r="M44" i="9"/>
  <c r="M43" i="9"/>
  <c r="H40" i="9"/>
  <c r="M36" i="9"/>
  <c r="M35" i="9"/>
  <c r="M32" i="9"/>
  <c r="M31" i="9"/>
  <c r="M30" i="9"/>
  <c r="M29" i="9"/>
  <c r="M28" i="9"/>
  <c r="L26" i="9"/>
  <c r="H26" i="9"/>
  <c r="M25" i="9"/>
  <c r="M24" i="9"/>
  <c r="M23" i="9"/>
  <c r="M22" i="9"/>
  <c r="M21" i="9"/>
  <c r="H19" i="9"/>
  <c r="M18" i="9"/>
  <c r="M17" i="9"/>
  <c r="E15" i="9"/>
  <c r="J13" i="9"/>
  <c r="J12" i="9"/>
  <c r="J11" i="9"/>
  <c r="K11" i="9" s="1"/>
  <c r="F11" i="9"/>
  <c r="J10" i="9"/>
  <c r="F10" i="9"/>
  <c r="K19" i="6"/>
  <c r="B5" i="14" s="1"/>
  <c r="D5" i="14" s="1"/>
  <c r="E8" i="6"/>
  <c r="E7" i="6"/>
  <c r="E6" i="6"/>
  <c r="E5" i="6"/>
  <c r="E4" i="6"/>
  <c r="E3" i="6"/>
  <c r="F24" i="5"/>
  <c r="F25" i="5" s="1"/>
  <c r="I23" i="5"/>
  <c r="I22" i="5"/>
  <c r="I21" i="5"/>
  <c r="I20" i="5"/>
  <c r="I19" i="5"/>
  <c r="I18" i="5"/>
  <c r="I17" i="5"/>
  <c r="I16" i="5"/>
  <c r="I15" i="5"/>
  <c r="I10" i="5"/>
  <c r="I9" i="5"/>
  <c r="I8" i="5"/>
  <c r="I7" i="5"/>
  <c r="I6" i="5"/>
  <c r="O11" i="1"/>
  <c r="C11" i="1"/>
  <c r="M11" i="1"/>
  <c r="K11" i="1"/>
  <c r="I11" i="1"/>
  <c r="E11" i="1"/>
  <c r="M62" i="9" l="1"/>
  <c r="N62" i="9" s="1"/>
  <c r="M40" i="9"/>
  <c r="M19" i="9"/>
  <c r="N19" i="9" s="1"/>
  <c r="E5" i="14"/>
  <c r="M33" i="9"/>
  <c r="N33" i="9" s="1"/>
  <c r="K13" i="9"/>
  <c r="L13" i="9"/>
  <c r="M13" i="9" s="1"/>
  <c r="K10" i="9"/>
  <c r="L10" i="9" s="1"/>
  <c r="K12" i="9"/>
  <c r="L12" i="9" s="1"/>
  <c r="M12" i="9" s="1"/>
  <c r="M52" i="9"/>
  <c r="N52" i="9" s="1"/>
  <c r="L11" i="9"/>
  <c r="P13" i="9"/>
  <c r="G10" i="9"/>
  <c r="H10" i="9" s="1"/>
  <c r="P10" i="9"/>
  <c r="P12" i="9"/>
  <c r="P11" i="9"/>
  <c r="M26" i="9"/>
  <c r="N40" i="9"/>
  <c r="I42" i="5"/>
  <c r="I25" i="5"/>
  <c r="G11" i="9"/>
  <c r="H11" i="9" s="1"/>
  <c r="M10" i="9" l="1"/>
  <c r="M11" i="9"/>
  <c r="I43" i="5"/>
  <c r="K3" i="6" s="1"/>
  <c r="B2" i="14" s="1"/>
  <c r="D2" i="14" s="1"/>
  <c r="E2" i="14" s="1"/>
  <c r="E6" i="14" s="1"/>
  <c r="M70" i="9" l="1"/>
  <c r="E9" i="14"/>
  <c r="L70" i="9" s="1"/>
  <c r="J9" i="9"/>
  <c r="K9" i="9" l="1"/>
  <c r="L9" i="9" s="1"/>
  <c r="M9" i="9" s="1"/>
  <c r="P9" i="9"/>
  <c r="G15" i="9" l="1"/>
  <c r="J15" i="9" l="1"/>
  <c r="K15" i="9"/>
  <c r="X15" i="9" s="1"/>
  <c r="P8" i="9"/>
  <c r="F15" i="9"/>
  <c r="L15" i="9" l="1"/>
  <c r="H15" i="9"/>
  <c r="H63" i="9" s="1"/>
  <c r="M15" i="9"/>
  <c r="L63" i="9" l="1"/>
  <c r="N15" i="9"/>
  <c r="M63" i="9"/>
  <c r="H65" i="9"/>
  <c r="L68" i="9" l="1"/>
  <c r="L72" i="9" s="1"/>
  <c r="M65" i="9"/>
  <c r="H66" i="9"/>
  <c r="M66" i="9" l="1"/>
  <c r="H68" i="9"/>
  <c r="H72" i="9" s="1"/>
  <c r="N66" i="9" l="1"/>
  <c r="N68" i="9" s="1"/>
  <c r="M68" i="9"/>
</calcChain>
</file>

<file path=xl/sharedStrings.xml><?xml version="1.0" encoding="utf-8"?>
<sst xmlns="http://schemas.openxmlformats.org/spreadsheetml/2006/main" count="546" uniqueCount="357">
  <si>
    <t>Under 50%</t>
  </si>
  <si>
    <t>Goal Range</t>
  </si>
  <si>
    <t>Budget Allocation</t>
  </si>
  <si>
    <t>Goal 1.1</t>
  </si>
  <si>
    <t>108-119</t>
  </si>
  <si>
    <t>96-107</t>
  </si>
  <si>
    <t>84-95</t>
  </si>
  <si>
    <t>72-83</t>
  </si>
  <si>
    <t>60-71</t>
  </si>
  <si>
    <t>Below 60</t>
  </si>
  <si>
    <t>Goal 2.1</t>
  </si>
  <si>
    <t>Goal 3.1</t>
  </si>
  <si>
    <t>TABLE OF CONTENTS</t>
  </si>
  <si>
    <t>DESCRIPTION</t>
  </si>
  <si>
    <t>REGIONAL CENTER WORKPLANS</t>
  </si>
  <si>
    <t>Informational Only</t>
  </si>
  <si>
    <t>CBET SCHEDULE</t>
  </si>
  <si>
    <t>PERFORMANCE SCHEDULE</t>
  </si>
  <si>
    <t>ACTIVITIES SCHEDULE</t>
  </si>
  <si>
    <t>GOALS AND BUDGET ALLOCATION</t>
  </si>
  <si>
    <t>BUDGET TEMPLATE</t>
  </si>
  <si>
    <t>BUDGET JUSTIFICATION</t>
  </si>
  <si>
    <t>Cell- input data/numbers</t>
  </si>
  <si>
    <t>Light Gold</t>
  </si>
  <si>
    <t>Cell- input narrative/words</t>
  </si>
  <si>
    <t>Light Orange</t>
  </si>
  <si>
    <t>Cell- automatically populates- do not change any formulas</t>
  </si>
  <si>
    <t>Light Blue</t>
  </si>
  <si>
    <t>Cell- do nothing/ignore</t>
  </si>
  <si>
    <t>Gray</t>
  </si>
  <si>
    <t>Header Rows</t>
  </si>
  <si>
    <t>Dark Gray</t>
  </si>
  <si>
    <t>1.      CBET SCHEDULE</t>
  </si>
  <si>
    <t>Objectives and Arizona AHEC-wide Goals</t>
  </si>
  <si>
    <t>Methodology</t>
  </si>
  <si>
    <t>Responsibilities</t>
  </si>
  <si>
    <t>Evaluation/Outcomes</t>
  </si>
  <si>
    <t>Expectation Per Center for Full Budget Funding</t>
  </si>
  <si>
    <t>RHPP student clinical rotations; Allied Health/community college clinical rotations;</t>
  </si>
  <si>
    <t>RHPP Faculty;</t>
  </si>
  <si>
    <t>Private college/university clinical rotations;</t>
  </si>
  <si>
    <t>Regional Center Directors &amp; Staff;</t>
  </si>
  <si>
    <t xml:space="preserve">Entry-Level Program clinical rotations and/or curriculum/program offerings by regional centers </t>
  </si>
  <si>
    <t>AHEC Program Staff</t>
  </si>
  <si>
    <t>RHPP Directors will meet at least monthly to complete final ASP program design;</t>
  </si>
  <si>
    <t>RHPP Directors;</t>
  </si>
  <si>
    <t>RHPP Directors will consult with the AzAHEC Dir. &amp; Ctr. Directors for design input.</t>
  </si>
  <si>
    <t xml:space="preserve">Offer seminars &amp; programs relevant to populations served and within a HRSA core topic framework; </t>
  </si>
  <si>
    <t>Clinical Education with preceptor incorporated into 1.1 above.  Continuing Education for Health Professional Incorporated in 3.1 below</t>
  </si>
  <si>
    <t>Provide CBET placements that expose students to conditions of core topics including IPE, SDOH, behavior health integration, cultural competency, practice transformation, and current/emerging issues</t>
  </si>
  <si>
    <t>AHEC program office staff;</t>
  </si>
  <si>
    <t xml:space="preserve"> </t>
  </si>
  <si>
    <t>Goal 2: To improve the health professions pipeline including diversity of the health workforce the AzAHEC system will provide recruitment, training, interactive and didactic pipeline activities for high school students (grades 9-12) and pre-health professions undergraduates with emphasis on health careers, including public health.</t>
  </si>
  <si>
    <t>Goal 3: The AzAHEC system will provide continuing education for currently practicing health professionals with emphasis on BHW’s core areas.</t>
  </si>
  <si>
    <t>Content experts</t>
  </si>
  <si>
    <t>Goal 4: AzAHEC will maintain, develop and enhance effective current and future strategic partnerships to implement, advance, and sustain the work of the AzAHEC program activities.</t>
  </si>
  <si>
    <r>
      <t xml:space="preserve">4.1. </t>
    </r>
    <r>
      <rPr>
        <sz val="10"/>
        <color theme="1"/>
        <rFont val="Times New Roman"/>
        <family val="1"/>
      </rPr>
      <t>Anticipate future AzAHEC priorities and obtain strategic networks to achieve the priorities;</t>
    </r>
  </si>
  <si>
    <t xml:space="preserve">Formal clinical affiliation agreements by UA and participating partners such as ASU and NAU; </t>
  </si>
  <si>
    <t>Agree to Support as part of Objectives 1-3 above</t>
  </si>
  <si>
    <t>Affiliation agreements and MOUs by Regional Centers with strategic partners</t>
  </si>
  <si>
    <r>
      <t>Goal 5:</t>
    </r>
    <r>
      <rPr>
        <b/>
        <sz val="10"/>
        <color theme="1"/>
        <rFont val="Times New Roman"/>
        <family val="1"/>
      </rPr>
      <t xml:space="preserve"> </t>
    </r>
    <r>
      <rPr>
        <b/>
        <sz val="10"/>
        <color rgb="FFFFFFFF"/>
        <rFont val="Times New Roman"/>
        <family val="1"/>
      </rPr>
      <t>Goal 5:  AzAHEC will implement a Statewide Outcome-Focused Evaluation Plan.</t>
    </r>
  </si>
  <si>
    <t>Review HRSA measures by each reporting year</t>
  </si>
  <si>
    <t>ANNUALIZED GOALS ALL CENTERS</t>
  </si>
  <si>
    <t>DISCIPLINE</t>
  </si>
  <si>
    <t>ABOR INSTITUTION</t>
  </si>
  <si>
    <t>PROJECTED NUMBER OF TRAINEES</t>
  </si>
  <si>
    <t>OTHER INSTITUTIONs (List)</t>
  </si>
  <si>
    <t>PROJECTED TOTAL NUMBER OF TRAINEES</t>
  </si>
  <si>
    <t>RHPP Participants:</t>
  </si>
  <si>
    <t>MEDICINE (STUDENT)</t>
  </si>
  <si>
    <t>UA-TUCSON</t>
  </si>
  <si>
    <t>UA-PHOENIX</t>
  </si>
  <si>
    <t>NURSE PRACTITIONER</t>
  </si>
  <si>
    <t>ASU, NAU OR UA</t>
  </si>
  <si>
    <t>PUBLIC HEALTH</t>
  </si>
  <si>
    <t>UA</t>
  </si>
  <si>
    <t>PHARMACY</t>
  </si>
  <si>
    <t>PHYSICIAN ASSISTANT</t>
  </si>
  <si>
    <t>NAU</t>
  </si>
  <si>
    <t>SUBTOTAL</t>
  </si>
  <si>
    <t>Trainees in Programs Not Shown Above:</t>
  </si>
  <si>
    <t>MEDICINE (RESIDENT)</t>
  </si>
  <si>
    <t>SOUTH CAMPUS</t>
  </si>
  <si>
    <t>TOTAL ABOR</t>
  </si>
  <si>
    <t>RESIDENT</t>
  </si>
  <si>
    <t xml:space="preserve">NURSE  </t>
  </si>
  <si>
    <t>DENTIST</t>
  </si>
  <si>
    <t>DENTAL HYGENIST</t>
  </si>
  <si>
    <t>TOTAL NON-ABOR</t>
  </si>
  <si>
    <t>Total Projected Number of Trainees</t>
  </si>
  <si>
    <t>RANGE</t>
  </si>
  <si>
    <t>NUMBER OF INDIVIDUALS IN CLUBS (Pipeline Activities with a structured curriculum of over 20 hours in an academic year)</t>
  </si>
  <si>
    <t>NUMBER OF CLUBS</t>
  </si>
  <si>
    <t>NUMBER OF CONTINUING EDUCATION PARTICIPANTS</t>
  </si>
  <si>
    <t>CENTER SELECTED GOAL: NUMBER OF TRAINEES (range minimum)</t>
  </si>
  <si>
    <t>Center-Specific Award Year Progress Goals (Narrative)</t>
  </si>
  <si>
    <t>Planned Timing by Quarter (Q1, Q2, etc.)</t>
  </si>
  <si>
    <t>Responsible Center Staff</t>
  </si>
  <si>
    <t>Community, Academic and Other Collaorators</t>
  </si>
  <si>
    <t>CE Granting Authority</t>
  </si>
  <si>
    <t>Collaborators</t>
  </si>
  <si>
    <t>Arizona AHEC Regional Center Budget</t>
  </si>
  <si>
    <t>Project Dates:</t>
  </si>
  <si>
    <t>(Note that not all line items may be needed and additional line items may be added, depending on scope of work details.)</t>
  </si>
  <si>
    <t>Federal: Model AHEC</t>
  </si>
  <si>
    <t>State Account: Lottery</t>
  </si>
  <si>
    <t>Personnel</t>
  </si>
  <si>
    <t>Name</t>
  </si>
  <si>
    <t>Position Title</t>
  </si>
  <si>
    <t>ERE
Rate</t>
  </si>
  <si>
    <t>Project 
FTE</t>
  </si>
  <si>
    <t>Project
Salary</t>
  </si>
  <si>
    <t>Project
ERE</t>
  </si>
  <si>
    <t>Project
Total</t>
  </si>
  <si>
    <t>COMBINED
TOTAL</t>
  </si>
  <si>
    <t>Total Personnel</t>
  </si>
  <si>
    <t>Travel</t>
  </si>
  <si>
    <t>In State</t>
  </si>
  <si>
    <t>Out of State</t>
  </si>
  <si>
    <t>Total Travel</t>
  </si>
  <si>
    <t>( copy this line and insert above as needed)</t>
  </si>
  <si>
    <t>Total Equipment</t>
  </si>
  <si>
    <t>new students x $1,000 YR1 stipend each</t>
  </si>
  <si>
    <t>continuing students x $1,000 YR2 stipend each</t>
  </si>
  <si>
    <t>Consultant Services</t>
  </si>
  <si>
    <t>Sub-Contracts</t>
  </si>
  <si>
    <t>Service Contracts</t>
  </si>
  <si>
    <t>Total Consultant Services</t>
  </si>
  <si>
    <t>Other Direct Costs - Operations</t>
  </si>
  <si>
    <t>Computers/Software</t>
  </si>
  <si>
    <t>Office Supplies</t>
  </si>
  <si>
    <t>Telecommunications</t>
  </si>
  <si>
    <t>Facility Rental/User Fees</t>
  </si>
  <si>
    <t>Postage &amp; Reproduction Costs</t>
  </si>
  <si>
    <t>Educational Supplies</t>
  </si>
  <si>
    <t>ADP/Computer Services</t>
  </si>
  <si>
    <t>Membership &amp; Dues</t>
  </si>
  <si>
    <t>Liability Insurance</t>
  </si>
  <si>
    <t>Total Other Direct Costs - Operations</t>
  </si>
  <si>
    <t>Other Direct Costs - Programming</t>
  </si>
  <si>
    <t>Non-Housing CBET Student Support</t>
  </si>
  <si>
    <t>Continuing Education for Practicing Health Professionals</t>
  </si>
  <si>
    <t>Total Other Direct Costs - Programming</t>
  </si>
  <si>
    <t>Total Direct Costs</t>
  </si>
  <si>
    <t>Modified Total Direct Costs</t>
  </si>
  <si>
    <t>Indirect Cost @ 8% MTDC</t>
  </si>
  <si>
    <t>TOTAL COST</t>
  </si>
  <si>
    <t>Maximum Budget Based on Goals</t>
  </si>
  <si>
    <t>Note on Indirect Cost:</t>
  </si>
  <si>
    <t>Description</t>
  </si>
  <si>
    <t>PHYSICAL THERAPY</t>
  </si>
  <si>
    <t>1.3. AzAHEC implements HRSA Core Topics: IPE, behavioral hlth integration, SDOH, practice transformation, cultural competence in clinical education, ASP &amp; CE; connect communities, support health professionals, virtual learning, telehealth. current, emerging health issues when significant</t>
  </si>
  <si>
    <t xml:space="preserve">5.1. Use longitudinal tracking database; develop, implement data collection, monitor outcomes for CBET, ASP Scholars, CE, Pipeline Participants </t>
  </si>
  <si>
    <t>Analyze trainee, participant tracking data for CBET, ASP Scholars, CE, pipeline program from Salesforce database, analyze data collection strategies for trainees, participants.</t>
  </si>
  <si>
    <t>Goal 1: Provide education and training inclusive of community-based experiential training (CBET) via field placements and clinical rotations for health professions students and the AHEC Scholars Program.  MUC = Medically Underserved Community</t>
  </si>
  <si>
    <t>Objectives</t>
  </si>
  <si>
    <t>Timeline/Milestones</t>
  </si>
  <si>
    <t xml:space="preserve">RHPP student, community college, allied clinical rotations; private college, university, entry level clinical rotations; curricula, Center programs </t>
  </si>
  <si>
    <t># health professions trainees across all disciplines who complete CBET; trainees’ intent to practice in rural and/or MUC; trainees’ employment in rural or MUC</t>
  </si>
  <si>
    <t>RHPP Directors meet at least monthly to complete Scholar selection and review program</t>
  </si>
  <si>
    <t xml:space="preserve">AzAHEC Program Staff, Regional Center Directors </t>
  </si>
  <si>
    <t># Scholars completing ASP;  trainee intent to practice in rural and/or MUC; trainee employment in rural or MUC</t>
  </si>
  <si>
    <t>Offer seminars &amp; programs relevant to pop. served in a HRSA core topic framework; provide CBET placements that expose students to conditions of core topics including IPE, SDOH, behavior health integration, cultural competency, practice transformation, current, emerging issues</t>
  </si>
  <si>
    <t>RHPP Directors, AzAHEC Program Staff, Regional Centers, staff;</t>
  </si>
  <si>
    <t>FY 2022 to FY 2027 Benchmarks: All Continuing Education and returning AHEC Scholars will have targeted training in core topics</t>
  </si>
  <si>
    <t>Review of core topics provided to AHEC Scholars during monthly seminars, delivered, facilitated by Reg. Centers, partners; review core topics provided to CE participants, delivered, facilitated by Centers and partners; review  core topics provided to CBET trainees, delivered, facilitated by Reg. Centers.</t>
  </si>
  <si>
    <t>Sub-objectives</t>
  </si>
  <si>
    <t># students who participate in structured programs; participants’ increased knowledge of health careers and intent to pursue health careers</t>
  </si>
  <si>
    <t>Goal 3: Provide continuing education for practicing health providers emphasizing BHW’s core areas.</t>
  </si>
  <si>
    <t>Offer CE on HRSA core topics</t>
  </si>
  <si>
    <t xml:space="preserve"> Regional Center</t>
  </si>
  <si>
    <t>faculty;</t>
  </si>
  <si>
    <t>content experts</t>
  </si>
  <si>
    <t># licensed CE participants practicing in rural and MUC; # health professionals participating in CE who declare intent to implement into practice.</t>
  </si>
  <si>
    <t>Goal 4: Develop strategic partnerships to implement, advance, and sustain AzAHEC Program activities.</t>
  </si>
  <si>
    <t>Formal clinical affiliation agreements between UArizona and partners; Regional Centers</t>
  </si>
  <si>
    <t>Faculty, colleges find RHPP student CBET placements; AzAHEC Program &amp; Centers support</t>
  </si>
  <si>
    <t>FY 2022 to 2027 Benchmarks: Maintain, expand strategic networks as an ongoing relational process throughout program implementation</t>
  </si>
  <si>
    <t>Review of agreements reported in annual center contracts</t>
  </si>
  <si>
    <t xml:space="preserve">Goal 5: Provide a statewide, outcome-focused AzAHEC Program Evaluation Plan. </t>
  </si>
  <si>
    <t xml:space="preserve">Analyze trainee, participant tracking data for CBET, ASP Scholars, CE, pipeline program from Salesforce database, analyze data collection strategies for trainees, participants. </t>
  </si>
  <si>
    <t>AzAHEC Program Evaluation Specialist; RHPP Directors; AzAHEC Director, Associate Director, Regional Centers</t>
  </si>
  <si>
    <t>FY 2022-27 Benchmarks: Data collection results analyzed and reported at least annually</t>
  </si>
  <si>
    <t>Annual evaluation report based on analysis of tracking data and outcome surveys</t>
  </si>
  <si>
    <t>Regional Clinical Immersion Experiences of up to 18 per cohort, per Center.   Scholars' community immersion reported separately to HRSA from field experience, which  occurs with preceptor as shown in 1.1 above</t>
  </si>
  <si>
    <t>Goal 2: Improve the health professions pipeline and pathways to practice to assure a well-trained diverse health workforce and provide recruitment, training, interactive and didactic pipeline activities for grade 9-12 high school students and pre-health professions undergraduates emphasizing health careers including public health.</t>
  </si>
  <si>
    <t>120 9-12 high school and undergrad pre-health professions students participate in structured activities per year.</t>
  </si>
  <si>
    <t>Goal 1.2</t>
  </si>
  <si>
    <t>Number of assigned AHEC Scholar cohorts, each with up to 18 students</t>
  </si>
  <si>
    <t>NUMBER OF TRAINEES (MINIMUM)/COHORTS</t>
  </si>
  <si>
    <t>NUMBER OF CLINICAL TRAINING HOURS (MINIMUM)</t>
  </si>
  <si>
    <t>260-299</t>
  </si>
  <si>
    <t>240-259</t>
  </si>
  <si>
    <t>210-239</t>
  </si>
  <si>
    <t>180-239</t>
  </si>
  <si>
    <t>150-179</t>
  </si>
  <si>
    <t>Below 150</t>
  </si>
  <si>
    <t>J, Ezroj</t>
  </si>
  <si>
    <t>M. Gloria</t>
  </si>
  <si>
    <t>C. Richardson</t>
  </si>
  <si>
    <t>P. Vargas</t>
  </si>
  <si>
    <t>TBD</t>
  </si>
  <si>
    <t>PP 08/31/2022</t>
  </si>
  <si>
    <t>TOTAL FTE's</t>
  </si>
  <si>
    <t>DOH</t>
  </si>
  <si>
    <t>Hourly Rate 7/31/2022</t>
  </si>
  <si>
    <t>Annual Wages</t>
  </si>
  <si>
    <t>Annual New Rate Wages</t>
  </si>
  <si>
    <t>With 5% Increase</t>
  </si>
  <si>
    <t>XXXX</t>
  </si>
  <si>
    <t>L. Morin</t>
  </si>
  <si>
    <t>EMPLOYEE</t>
  </si>
  <si>
    <t>Per Ms. AA</t>
  </si>
  <si>
    <t>AHEC Scholar Faculty Mentor</t>
  </si>
  <si>
    <t>Structured clubs/Camps including HOSA and other high school and college readiness programs; Med-Start</t>
  </si>
  <si>
    <t>TOTAL</t>
  </si>
  <si>
    <t>Field Experiences for 120 trainees, with no less than 17,400 hours.   Clinical experiences must be precepted by individual in the same discipline as the trainee and meeting accredition requirements.   Non-clinical experiences must be limited to 10% of total trainees or hours, whichever is less. Students must be from an accreditated US university/college and enrolled in a course that defines required field experience hours. Residents must be from a U.S. based health care institution.</t>
  </si>
  <si>
    <r>
      <t xml:space="preserve">1.2. AzAHEC recruits minimum of 375 AHEC Scholars per Center over the five-year project.  </t>
    </r>
    <r>
      <rPr>
        <b/>
        <i/>
        <sz val="10"/>
        <color rgb="FFFF0000"/>
        <rFont val="Times New Roman"/>
        <family val="1"/>
      </rPr>
      <t>NOTE:  Based on addition of sixth center beginning in 2024-25, the annual total for all centers is 90 AHEC Scholars, which is 15 per center per cohort.</t>
    </r>
  </si>
  <si>
    <r>
      <t>3.1. AzAHEC recruits min. 7,500 health care providers from safety net health sites for prof. development emphasizing HRSA core topics over 5-year project.</t>
    </r>
    <r>
      <rPr>
        <sz val="10"/>
        <color theme="1"/>
        <rFont val="Times New Roman"/>
        <family val="1"/>
      </rPr>
      <t xml:space="preserve"> If allocated equally between all Centers, each Center would recruit 300 trainees per year.</t>
    </r>
    <r>
      <rPr>
        <b/>
        <sz val="10"/>
        <color theme="1"/>
        <rFont val="Times New Roman"/>
        <family val="1"/>
      </rPr>
      <t xml:space="preserve">  </t>
    </r>
    <r>
      <rPr>
        <b/>
        <i/>
        <sz val="10"/>
        <color rgb="FFFF0000"/>
        <rFont val="Times New Roman"/>
        <family val="1"/>
      </rPr>
      <t>NOTE:  Based on addition of sixth center beginning in 2024-25, the annual total for all centers is 1800, which is 300 trainees per center annually.</t>
    </r>
  </si>
  <si>
    <r>
      <t xml:space="preserve">2.1. AzAHEC recruits min. of 3,000 9-12 high school + undergrad pre-health prof students to participate in structured activities (20 hrs) for the 5-year project. Improve underrepresented minority recruitment. If allocated equally between all Centers, each Center would recruit 120 trainees per year.  NOTE:  </t>
    </r>
    <r>
      <rPr>
        <b/>
        <i/>
        <sz val="10"/>
        <color rgb="FFFF0000"/>
        <rFont val="Times New Roman"/>
        <family val="1"/>
      </rPr>
      <t>Based on addition of sixth center beginning in 2024-25, the annual total for all centers is 720, which is 120 per center annually.</t>
    </r>
  </si>
  <si>
    <r>
      <t xml:space="preserve">1.1. AzAHEC recruits minimum of 3,000 unique health professions trainees (students and residents) for CBET in rural and MUCs over the five-year project   </t>
    </r>
    <r>
      <rPr>
        <b/>
        <i/>
        <sz val="10"/>
        <color rgb="FFFF0000"/>
        <rFont val="Times New Roman"/>
        <family val="1"/>
      </rPr>
      <t>NOTE:  Based on addition of sixth center beginning in 2024-25, the annual total for all centers is 720 unique health professionals, which is 120 per center annually.</t>
    </r>
  </si>
  <si>
    <t>Name of Responsible Center Staff as Identified on Budget Template</t>
  </si>
  <si>
    <t>When NAME is entered, name of incumbent should be entered.  If no incumbent exists, enter "TBD"</t>
  </si>
  <si>
    <t>45/3</t>
  </si>
  <si>
    <t>30/2</t>
  </si>
  <si>
    <t>15/1</t>
  </si>
  <si>
    <t>0/0</t>
  </si>
  <si>
    <t>TABLE 11 WORK PLAN. Goal 1:  Providing education and training activities inclusive of community-based experiential training (CBET) by providing field placements and by clinical  rotations for health professions students and by implementing the AHEC Scholars Program</t>
  </si>
  <si>
    <t>Student Housing</t>
  </si>
  <si>
    <t>For Applicant Completion</t>
  </si>
  <si>
    <t>FOR APPLICANT COMPLETION:  Identifies CBET placements that Applicant anticipates will occur by discipline and by ABOR and non-ABOR institution in FY 25-26.   The CBET schedule includes Applicant’s plans for clinical rotations with 1) RHPP students in the UAHS Colleges of Medicine (Tucson and Phoenix), Nursing, Pharmacy and Public Health; ASU and NAU and 2) health profession students who are not in the RHPP program, including those from non-ABOR institutions.  Examples include allied health, behavioral health, community health worker, dental assistant and hygienist, dentist, doctor of osteopathy, medical doctor, nurse anesthetist, nurse practitioner, nursing (RN), occupational therapy, pharmacist, physical therapy, physician assistant, public health, social work, and others. The schedule must identify type of health professions, associated institutions and number of trainees.</t>
  </si>
  <si>
    <t xml:space="preserve">Name of CENTER: </t>
  </si>
  <si>
    <t>Expectation for Full Budget Funding</t>
  </si>
  <si>
    <t>Applicant Work Plan Checklist</t>
  </si>
  <si>
    <t xml:space="preserve">FOR APPLICANT COMPLETION: Displays the work to be completed by all AzAHEC Regional Centers as defined to HRSA. </t>
  </si>
  <si>
    <t>FOR APPLICANT COMPLETION:  Identifies the purpose of requested budget in FY 25-26.  This budget justication has been completed with examples only and should be updated to reflect actual proposal.  Budget shown on this tab must be consistent with "Budget Template" tab.  Personnel listed on this tab must have consistent names, FTE, and salaries as shown on "Budget Template" tab. Personnel receiving 10% or more of FTE must be reflected on Activity Schedule.</t>
  </si>
  <si>
    <t xml:space="preserve">FOR APPLICANT INFORMATION: Displays the amount of funding associated with the level of individual completion of the three metrics within each major objectives. The total funding requested on the budget template may not exceed the components of these three metrics within each major objective.  Each key indicator has a relative weight and thus goal 1.1 comes with more funding than the other two.   </t>
  </si>
  <si>
    <t>SUPPLEMENTAL ATTACHMENTS</t>
  </si>
  <si>
    <t>a. Letters of Support (e.g., agreements to collaborate on activities with no specific outcomes/timeline.)</t>
  </si>
  <si>
    <r>
      <t xml:space="preserve">1.2. </t>
    </r>
    <r>
      <rPr>
        <sz val="10"/>
        <color theme="1"/>
        <rFont val="Times New Roman"/>
        <family val="1"/>
      </rPr>
      <t>AzAHEC recruits minimum of 375 AHEC Scholars per Center over the five-year project</t>
    </r>
    <r>
      <rPr>
        <b/>
        <sz val="10"/>
        <color theme="1"/>
        <rFont val="Times New Roman"/>
        <family val="1"/>
      </rPr>
      <t xml:space="preserve">.  </t>
    </r>
    <r>
      <rPr>
        <b/>
        <sz val="10"/>
        <color rgb="FFFF0000"/>
        <rFont val="Times New Roman"/>
        <family val="1"/>
      </rPr>
      <t>NOTE:  Beginning in 2024-25, the annual total for all centers is 90 AHEC Scholars, which is 15 per center per cohort to achieve maximum budget.</t>
    </r>
  </si>
  <si>
    <r>
      <t xml:space="preserve">1.1: </t>
    </r>
    <r>
      <rPr>
        <sz val="10"/>
        <color theme="1"/>
        <rFont val="Times New Roman"/>
        <family val="1"/>
      </rPr>
      <t xml:space="preserve">Recruit a minimum of 3000 health professions students for community-based experiential training (CBET) in rural and MUCs for health professions students outside the AHEC Scholars program </t>
    </r>
    <r>
      <rPr>
        <b/>
        <sz val="10"/>
        <color theme="1"/>
        <rFont val="Times New Roman"/>
        <family val="1"/>
      </rPr>
      <t xml:space="preserve"> </t>
    </r>
    <r>
      <rPr>
        <b/>
        <sz val="10"/>
        <color rgb="FFFF0000"/>
        <rFont val="Times New Roman"/>
        <family val="1"/>
      </rPr>
      <t>NOTE:  Beginning in 2024-25, the annual total for all centers is 720 unique health professionals, which is 120 per center annually to achieve maximum budget.</t>
    </r>
  </si>
  <si>
    <r>
      <t xml:space="preserve">2.1. AzAHEC recruits min. of 3,000 9-12 high school + undergrad pre-health prof students to participate in structured activities (20 hrs) for the 5-year project.  </t>
    </r>
    <r>
      <rPr>
        <b/>
        <sz val="10"/>
        <color rgb="FFFF0000"/>
        <rFont val="Times New Roman"/>
        <family val="1"/>
      </rPr>
      <t xml:space="preserve"> NOTE:  Beginning in 2024-25, the annual total for all centers is 720, which is 120 per center annually to achieve maximum budget.</t>
    </r>
  </si>
  <si>
    <r>
      <t xml:space="preserve">3.1. AzAHEC recruits min. 7,500 health care providers from safety net health sites for prof. development emphasizing HRSA core topics over 5-year project.  </t>
    </r>
    <r>
      <rPr>
        <b/>
        <sz val="10"/>
        <color rgb="FFFF0000"/>
        <rFont val="Times New Roman"/>
        <family val="1"/>
      </rPr>
      <t>NOTE:  Beginning in 2024-25, the annual total for all centers is 1800, which is 300 trainees per center annually to achieve maximum budget.</t>
    </r>
  </si>
  <si>
    <t>Unallocated Funding</t>
  </si>
  <si>
    <t>NAME</t>
  </si>
  <si>
    <t>TITLE</t>
  </si>
  <si>
    <t>TOTAL FTE THIS AWARD</t>
  </si>
  <si>
    <t>ADDITIONAL FTE WITHIN ORGANIZATION</t>
  </si>
  <si>
    <t>Other Pipeline Activities Unstructured Programs Grades K-12</t>
  </si>
  <si>
    <t>Community Education</t>
  </si>
  <si>
    <t>Color Key within Tabs:</t>
  </si>
  <si>
    <r>
      <t xml:space="preserve">1.1: </t>
    </r>
    <r>
      <rPr>
        <sz val="10"/>
        <color theme="1"/>
        <rFont val="Times New Roman"/>
        <family val="1"/>
      </rPr>
      <t>Recruit a minimum of 720 health professions students for community-based experiential training (CBET) in rural and MUCs for health professions students exclusive of community immersion in the AHEC Scholars Program.</t>
    </r>
    <r>
      <rPr>
        <b/>
        <sz val="10"/>
        <color theme="1"/>
        <rFont val="Times New Roman"/>
        <family val="1"/>
      </rPr>
      <t xml:space="preserve">  If allocated equally between all Centers, each Center would recruit 120 trainees per year to achieve maximum budget.</t>
    </r>
  </si>
  <si>
    <r>
      <t xml:space="preserve">2.1. </t>
    </r>
    <r>
      <rPr>
        <sz val="10"/>
        <color theme="1"/>
        <rFont val="Times New Roman"/>
        <family val="1"/>
      </rPr>
      <t>A minimum of 720 9-12</t>
    </r>
    <r>
      <rPr>
        <vertAlign val="superscript"/>
        <sz val="10"/>
        <color theme="1"/>
        <rFont val="Times New Roman"/>
        <family val="1"/>
      </rPr>
      <t>th</t>
    </r>
    <r>
      <rPr>
        <sz val="10"/>
        <color theme="1"/>
        <rFont val="Times New Roman"/>
        <family val="1"/>
      </rPr>
      <t xml:space="preserve"> grade high school students and undergrad pre-health professions students will be recruited per yr. to participate in pipeline activities; </t>
    </r>
    <r>
      <rPr>
        <b/>
        <sz val="10"/>
        <color theme="1"/>
        <rFont val="Times New Roman"/>
        <family val="1"/>
      </rPr>
      <t xml:space="preserve"> If allocated equally between all Centers, each Center would recruit 120 trainees per year to achieve maximum budget.  Projections should NOT include K-8 events.</t>
    </r>
  </si>
  <si>
    <t xml:space="preserve"> 
</t>
  </si>
  <si>
    <t xml:space="preserve">Ctr directors, high schools, leaders; AzAHEC Program, </t>
  </si>
  <si>
    <t>TOTAL COSTS/SALARY THIS AWARD</t>
  </si>
  <si>
    <t>FEDERAL</t>
  </si>
  <si>
    <t>STATE</t>
  </si>
  <si>
    <t>ERE</t>
  </si>
  <si>
    <t>SAMPLE BUDGET ONLY; BASED ON ALL METRICS AT 80%</t>
  </si>
  <si>
    <t>Describe specific activities EACH position will engage in toward meeting performance activities.  Personnel for whom 10% or more support is requested must be reflected on "Activities Schedule".</t>
  </si>
  <si>
    <t>Describe what costs are projected within EACH expense category.</t>
  </si>
  <si>
    <t>AHEC Scholar Faculty Mentor First Cohort</t>
  </si>
  <si>
    <t>AHEC Scholar Faculty Mentor Second Cohort</t>
  </si>
  <si>
    <t>Project 
Salary</t>
  </si>
  <si>
    <t>Annualized
Salary</t>
  </si>
  <si>
    <t>Indirect costs @ 8%</t>
  </si>
  <si>
    <t>TOTAL REQUEST</t>
  </si>
  <si>
    <t>Specify Other Disclipines:</t>
  </si>
  <si>
    <t>OCCUPATIONAL THERAPY</t>
  </si>
  <si>
    <t xml:space="preserve">ABOR Trainees </t>
  </si>
  <si>
    <t>Non-ABOR Trainees</t>
  </si>
  <si>
    <t>In Column D, starting from row 32, list all additional disciplines for non-ABOR planned CBET placements that are not already captured in rows 27-30. For each discipline listed in Column D, provide the educational institution where these trainees are matriculated in Column G and enter the number of trainees for each discipline in Column H. Refer to Scope of Work Objective 1 for further details.</t>
  </si>
  <si>
    <t>DIRECTIONS</t>
  </si>
  <si>
    <t>In Column F, enter all planned CBET placements by the number of RHPP trainees per program. Refer to Scope of Work Objective 1 for requirements and additional information.</t>
  </si>
  <si>
    <t>In Column F, enter all planned CBET placements for trainees who attend an institution with a RHPP but are not RHPP students. Refer to Scope of Work Objective 1 for further details.</t>
  </si>
  <si>
    <r>
      <t xml:space="preserve">1.1: </t>
    </r>
    <r>
      <rPr>
        <sz val="10"/>
        <color theme="1"/>
        <rFont val="Calibri"/>
        <family val="2"/>
        <scheme val="minor"/>
      </rPr>
      <t xml:space="preserve">Recruit a minimum of 3000 health professions students for community-based experiential training (CBET) in rural and MUCs for health professions students outside the AHEC Scholars program </t>
    </r>
  </si>
  <si>
    <r>
      <t xml:space="preserve">1.1: </t>
    </r>
    <r>
      <rPr>
        <sz val="10"/>
        <color theme="1"/>
        <rFont val="Calibri"/>
        <family val="2"/>
        <scheme val="minor"/>
      </rPr>
      <t xml:space="preserve">As a system, AzAHEC Centers requires a minimum of 600 health professions students for community-based experiential training (CBET) in rural and MUCs for health professions students (exclusive of community immersion portion of the AHEC Scholars program).  This chart is a required attachment to Scope of Work.  It should be developed to display Applicant's expectation of field experiences by discipline and institution for up 120 trainees.  </t>
    </r>
    <r>
      <rPr>
        <b/>
        <sz val="10"/>
        <color theme="1"/>
        <rFont val="Calibri"/>
        <family val="2"/>
        <scheme val="minor"/>
      </rPr>
      <t xml:space="preserve"> NOTES:  1. This number should include number of trainees and not number of rotations; and 2.  </t>
    </r>
    <r>
      <rPr>
        <sz val="10"/>
        <color rgb="FFFF0000"/>
        <rFont val="Calibri"/>
        <family val="2"/>
        <scheme val="minor"/>
      </rPr>
      <t>Based on addition of sixth center beginning in 2024-25, the annual total for all centers is 720 unique health professionals, which is 120 per center annually to achieve maximum budget.</t>
    </r>
  </si>
  <si>
    <r>
      <t xml:space="preserve">3.1 </t>
    </r>
    <r>
      <rPr>
        <sz val="10"/>
        <color theme="1"/>
        <rFont val="Times New Roman"/>
        <family val="1"/>
      </rPr>
      <t xml:space="preserve">A minimum of 1,800 health care providers from </t>
    </r>
    <r>
      <rPr>
        <b/>
        <i/>
        <sz val="10"/>
        <color theme="1"/>
        <rFont val="Times New Roman"/>
        <family val="1"/>
      </rPr>
      <t>safety net</t>
    </r>
    <r>
      <rPr>
        <sz val="10"/>
        <color theme="1"/>
        <rFont val="Times New Roman"/>
        <family val="1"/>
      </rPr>
      <t xml:space="preserve"> health service sites recruited to participate in professional development training with emphasis on HRSA’s core topics.  </t>
    </r>
    <r>
      <rPr>
        <b/>
        <sz val="10"/>
        <color theme="1"/>
        <rFont val="Times New Roman"/>
        <family val="1"/>
      </rPr>
      <t xml:space="preserve"> If allocated equally between all Centers, each Center would recruit 300 trainees per year to achieve maximum budget. </t>
    </r>
    <r>
      <rPr>
        <sz val="10"/>
        <color theme="1"/>
        <rFont val="Times New Roman"/>
        <family val="1"/>
      </rPr>
      <t xml:space="preserve">A portion of these events must result in the issuance of Continuing Education credits by a nationally or state recognized accrediting agency from center directly.  Projections should NOT include community events. </t>
    </r>
  </si>
  <si>
    <t xml:space="preserve">PURPOSE &amp; DIRECTIONS </t>
  </si>
  <si>
    <t xml:space="preserve">Planned Timing by Quarter (Q1, Q2, etc.) </t>
  </si>
  <si>
    <t xml:space="preserve">Offer CE/CME and professional development programs relevant to populations served and within a HRSA core topic framework.   A portion of these events must result in the issuance of Continuing Education credits by a nationally or state recognized accrediting agency from center directly.  </t>
  </si>
  <si>
    <t>HOSA; tribal high school programs; career and health fairs, job shadowing, visits to local health professions schools, health science days, health careers seminars, early college readiness programs; summer camps</t>
  </si>
  <si>
    <t>AHEC Scholars Stipends</t>
  </si>
  <si>
    <t>NUMBER OF CONTINUING EDUCATION/CONTINUING PROFESSIONAL DEVELOPMENT EVENTS</t>
  </si>
  <si>
    <t>Community Immersions</t>
  </si>
  <si>
    <t>AHEC Scholars Program</t>
  </si>
  <si>
    <t>Total AHEC Scholars Program</t>
  </si>
  <si>
    <t>AHEC Scholars Stipends First Cohort</t>
  </si>
  <si>
    <t>AHEC Scholars Stipends Second Cohort</t>
  </si>
  <si>
    <t xml:space="preserve">AHEC Scholars Program </t>
  </si>
  <si>
    <t>September 1, 2025- August 31, 2026 (12 months)</t>
  </si>
  <si>
    <t>Pipeline Activities Structured Programs (Clubs) Grades 9-16</t>
  </si>
  <si>
    <t>Personnel Subtotal</t>
  </si>
  <si>
    <t>Director is responsible for…..</t>
  </si>
  <si>
    <t xml:space="preserve">FOR APPLICANT COMPLETION:  Identifies the budget request for FY 25-26.  This budget template has been completed at 80% level of fundings with examples only  and should be updated to reflect actual proposal.  Costs by category shown on this tab must be consistent with "Budget Justification" tab. Federal costs may not exceed $120,579 and may include only costs for AHEC Scholars (up to $15,000 per cohort) and personnel costs.  Recommended personnel model addressing focus on HRSA scope of work (e.g., ASP, CBET, pipeline, CE) is reflected on template. </t>
  </si>
  <si>
    <r>
      <t xml:space="preserve">FY 2022-27 Benchmarks: Min. 90 new Scholars admitted per year, 15-18 per approved Center. Min 90 Scholars return each year, 15-18 returning scholars / Center  </t>
    </r>
    <r>
      <rPr>
        <b/>
        <sz val="14"/>
        <color rgb="FFFF0000"/>
        <rFont val="Times New Roman"/>
        <family val="1"/>
      </rPr>
      <t>NOTE:  Based on addition of sixth center beginning in 2024-25, the annual total for all centers is 90 AHEC Scholars, which is 15 per center per cohort.  Two cohorts per center are required annually to achieve maximum budget..</t>
    </r>
  </si>
  <si>
    <r>
      <t xml:space="preserve">FY 2022 to FY 2027 Benchmarks: Min. 600 participants per project year, reflecting a minimum of 120 club participants per center per year.  </t>
    </r>
    <r>
      <rPr>
        <b/>
        <sz val="14"/>
        <color rgb="FFFF0000"/>
        <rFont val="Times New Roman"/>
        <family val="1"/>
      </rPr>
      <t>NOTE:  Based on addition of sixth center beginning in 2024-25, the annual total for all centers is 720, which is 120 per center annually to achieve maximum budget..</t>
    </r>
  </si>
  <si>
    <r>
      <t xml:space="preserve">FY 2022-27 Benchmarks: Min. 1,500 participants per project year, min. of 300 participants per Center per year.  </t>
    </r>
    <r>
      <rPr>
        <b/>
        <sz val="14"/>
        <color rgb="FFFF0000"/>
        <rFont val="Times New Roman"/>
        <family val="1"/>
      </rPr>
      <t>NOTE:  Based on addition of sixth center beginning in 2024-25, the annual total for all centers is 1800, which is 300 trainees per center annually to achieve maximum budget.</t>
    </r>
  </si>
  <si>
    <r>
      <t xml:space="preserve">1.1. </t>
    </r>
    <r>
      <rPr>
        <sz val="14"/>
        <color theme="1"/>
        <rFont val="Times New Roman"/>
        <family val="1"/>
      </rPr>
      <t xml:space="preserve">AzAHEC recruits minimum of 3,000 unique health professions trainees (students and residents) for CBET in rural and MUCs over the five-year project </t>
    </r>
    <r>
      <rPr>
        <b/>
        <sz val="14"/>
        <color theme="1"/>
        <rFont val="Times New Roman"/>
        <family val="1"/>
      </rPr>
      <t xml:space="preserve">.  </t>
    </r>
    <r>
      <rPr>
        <b/>
        <sz val="14"/>
        <color rgb="FFFF0000"/>
        <rFont val="Times New Roman"/>
        <family val="1"/>
      </rPr>
      <t>NOTE:  Based on addition of sixth center beginning in 2024-25, the annual total for all centers is 720 unique health professionals, which is 120 per center annually.</t>
    </r>
  </si>
  <si>
    <r>
      <t xml:space="preserve">FY 2022-27 Benchmarks: Min. 600 health prof. students + residents in </t>
    </r>
    <r>
      <rPr>
        <u/>
        <sz val="14"/>
        <color theme="1"/>
        <rFont val="Times New Roman"/>
        <family val="1"/>
      </rPr>
      <t>&gt;</t>
    </r>
    <r>
      <rPr>
        <sz val="14"/>
        <color theme="1"/>
        <rFont val="Times New Roman"/>
        <family val="1"/>
      </rPr>
      <t xml:space="preserve"> 90,000 CBET hrs/yr. Each Center min. 120 trainees, 18,000 CBET hrs/yr. Centers with LIC program + RHPP: may have less trainees, but min. CBET hrs/yr.</t>
    </r>
    <r>
      <rPr>
        <b/>
        <sz val="14"/>
        <color rgb="FFFF0000"/>
        <rFont val="Times New Roman"/>
        <family val="1"/>
      </rPr>
      <t>NOTE:  Based on addition of sixth center beginning in 2024-25, the annual total for all centers is 720 unique health professionals, which is 120 per center annually.</t>
    </r>
  </si>
  <si>
    <r>
      <t xml:space="preserve">1.2. </t>
    </r>
    <r>
      <rPr>
        <sz val="14"/>
        <color theme="1"/>
        <rFont val="Times New Roman"/>
        <family val="1"/>
      </rPr>
      <t>AzAHEC recruits minimum of 375 AHEC Scholars per Center over the five-year project</t>
    </r>
    <r>
      <rPr>
        <b/>
        <sz val="14"/>
        <color theme="1"/>
        <rFont val="Times New Roman"/>
        <family val="1"/>
      </rPr>
      <t xml:space="preserve">.  </t>
    </r>
    <r>
      <rPr>
        <sz val="14"/>
        <color rgb="FFFF0000"/>
        <rFont val="Times New Roman"/>
        <family val="1"/>
      </rPr>
      <t>NOTE:  Based on addition of sixth center beginning in 2024-25, the annual total for all centers is 90 AHEC Scholars, which is 15 per center per cohort.  Two cohorts per center are</t>
    </r>
    <r>
      <rPr>
        <b/>
        <sz val="14"/>
        <color theme="1"/>
        <rFont val="Times New Roman"/>
        <family val="1"/>
      </rPr>
      <t xml:space="preserve"> </t>
    </r>
    <r>
      <rPr>
        <sz val="14"/>
        <color rgb="FFFF0000"/>
        <rFont val="Times New Roman"/>
        <family val="1"/>
      </rPr>
      <t>required annually.</t>
    </r>
  </si>
  <si>
    <r>
      <t xml:space="preserve">1.3. </t>
    </r>
    <r>
      <rPr>
        <sz val="14"/>
        <color theme="1"/>
        <rFont val="Times New Roman"/>
        <family val="1"/>
      </rPr>
      <t>AzAHEC implements HRSA Core Topics: IPE, behavioral hlth integration, SDOH, practice transformation, cultural competence in clinical education, ASP &amp; CE; connect communities, support health professionals, virtual learning, telehealth. current, emerging health issues when significant</t>
    </r>
  </si>
  <si>
    <r>
      <t xml:space="preserve">2.1. </t>
    </r>
    <r>
      <rPr>
        <sz val="14"/>
        <color theme="1"/>
        <rFont val="Times New Roman"/>
        <family val="1"/>
      </rPr>
      <t>AzAHEC</t>
    </r>
    <r>
      <rPr>
        <b/>
        <sz val="14"/>
        <color theme="1"/>
        <rFont val="Times New Roman"/>
        <family val="1"/>
      </rPr>
      <t xml:space="preserve"> </t>
    </r>
    <r>
      <rPr>
        <sz val="14"/>
        <color rgb="FF000000"/>
        <rFont val="Times New Roman"/>
        <family val="1"/>
      </rPr>
      <t>recruits</t>
    </r>
    <r>
      <rPr>
        <sz val="14"/>
        <color theme="1"/>
        <rFont val="Times New Roman"/>
        <family val="1"/>
      </rPr>
      <t xml:space="preserve"> min. of 3,000 9-12 high school + undergrad pre-health prof students to participate in structured activities (20 hrs) for the 5-year project. Improve underrepresented minority recruitment</t>
    </r>
    <r>
      <rPr>
        <b/>
        <sz val="14"/>
        <color theme="1"/>
        <rFont val="Times New Roman"/>
        <family val="1"/>
      </rPr>
      <t xml:space="preserve">.  </t>
    </r>
    <r>
      <rPr>
        <sz val="14"/>
        <color rgb="FFFF0000"/>
        <rFont val="Times New Roman"/>
        <family val="1"/>
      </rPr>
      <t>NOTE:  Based on addition of sixth center beginning in 2024-25, the annual total for all centers is 720, which is 120 per center annually to achieve maximum budget.</t>
    </r>
  </si>
  <si>
    <r>
      <t xml:space="preserve">3.1. </t>
    </r>
    <r>
      <rPr>
        <sz val="14"/>
        <color theme="1"/>
        <rFont val="Times New Roman"/>
        <family val="1"/>
      </rPr>
      <t>AzAHEC recruits min. 7,500 health care providers from safety net health sites for prof. development emphasizing HRSA core topics over 5-year project</t>
    </r>
    <r>
      <rPr>
        <b/>
        <sz val="14"/>
        <color theme="1"/>
        <rFont val="Times New Roman"/>
        <family val="1"/>
      </rPr>
      <t xml:space="preserve">.  </t>
    </r>
    <r>
      <rPr>
        <sz val="14"/>
        <color rgb="FFFF0000"/>
        <rFont val="Times New Roman"/>
        <family val="1"/>
      </rPr>
      <t>NOTE:  Based on addition of sixth center beginning in 2024-25, the annual total for all centers is 1800, which is 300 trainees per center annually to achieve maximum budget.</t>
    </r>
  </si>
  <si>
    <r>
      <t xml:space="preserve">4.1. </t>
    </r>
    <r>
      <rPr>
        <sz val="14"/>
        <color theme="1"/>
        <rFont val="Times New Roman"/>
        <family val="1"/>
      </rPr>
      <t>Anticipate future AzAHEC priorities and obtain strategic networks to achieve the priorities</t>
    </r>
  </si>
  <si>
    <r>
      <t xml:space="preserve">5.1. </t>
    </r>
    <r>
      <rPr>
        <sz val="14"/>
        <color theme="1"/>
        <rFont val="Times New Roman"/>
        <family val="1"/>
      </rPr>
      <t xml:space="preserve">Use longitudinal tracking database; develop, implement data collection, monitor outcomes for CBET, ASP Scholars, CE, Pipeline Participants </t>
    </r>
  </si>
  <si>
    <t>300 health care providers. Evaluations for this activity are collected by AzAHEC and are reportable to HRSA.  This category of events must result in the issuance of Continuing Education credits by a nationally or state recognized accrediting agency, and are reported as “CONTINUING EDUCATION” in SalesForce.</t>
  </si>
  <si>
    <t>STIPDENDS/30,000</t>
  </si>
  <si>
    <t>STIPENDS/15,000</t>
  </si>
  <si>
    <t>Goal %</t>
  </si>
  <si>
    <t>2023-24</t>
  </si>
  <si>
    <t>2024-25</t>
  </si>
  <si>
    <t>In 2024-25, plus $422 for 100% achievement (to balance budget allocation)</t>
  </si>
  <si>
    <t>Center Expected Goal</t>
  </si>
  <si>
    <t>Notes</t>
  </si>
  <si>
    <t>Max. Weight</t>
  </si>
  <si>
    <t xml:space="preserve">CCURRENT </t>
  </si>
  <si>
    <t>Budget Preparation</t>
  </si>
  <si>
    <t>Goal Description</t>
  </si>
  <si>
    <t>100% Metric</t>
  </si>
  <si>
    <t>Center-Chosen Goal as % of Metric</t>
  </si>
  <si>
    <t>Allocated Budget (Weighted)</t>
  </si>
  <si>
    <t xml:space="preserve">1.1: Recruit health professions students for community-based experiential training (CBET) in rural and MUCs for health professions students outside the AHEC Scholars program </t>
  </si>
  <si>
    <t>1.2: Oversee, support, and implement the AHEC Scholars Program to assigned group(s) of up to 18 Scholars each. (Performance metric reflects number of planned assigned cohorts.)</t>
  </si>
  <si>
    <t>2.1. 9-12th grade high school students and undergrad pre-health professions students will be recruited to participate in pipeline activities; Recruitment of URM will be emphasized to improve diversity.</t>
  </si>
  <si>
    <t xml:space="preserve">3.1 Health care providers from safety net health service sites recruited to participate in professional development training with emphasis on HRSA’s core topics  </t>
  </si>
  <si>
    <t>Total Maximum Budget</t>
  </si>
  <si>
    <t>Federal Contract Budget</t>
  </si>
  <si>
    <t>State Contract Budget</t>
  </si>
  <si>
    <t>Applicant Projection</t>
  </si>
  <si>
    <t xml:space="preserve">FOR APPLICANT COMPLETION:  Identifies the activities within each objective that the Appliant anticipates completing in FY 25-26 such as timeline, human resources and external collaborators. The Activities Schedule reflects the federal objectives and the parameters/performance measures applicable to fulfill each objective in the work plan including: 1. evidence of new or expanded community-based clinical arrangements (e.g., affiliation agreements, memoranda of understanding, or evidence of the existing clinical services in an established AHEC Regional Center). 2. types of activities planned and identification of the quarters (Q1, Q2, Q3, Q4) when activities are expected to be completed; 3. Regional staff member(s) responsible for implementing activities toward achievement of Scope of Work Objectives; 4. community; academic and any other collaborators; 5.  the intended locations for contract activities to occur inclusive of new, enhanced, or expanded arrangements for UAHS students (including medical students) and resident experiential learning.  </t>
  </si>
  <si>
    <t xml:space="preserve">FOR APPLICANT COMPLETION:  Identifies HRSA-related training experiences within each major objective that the center anticipates will occur in FY 25-26, including 1)  the number of health professions student to be placed by center in community-based training (as shown on CBET Schedule) and 2) the number of grades 9-16 students to participate in structured health profession pipeline programs and 3) the number of individuals to participate in continuing education and continuing professional development.     </t>
  </si>
  <si>
    <t>Check to Confirm this information is Completed/Attached</t>
  </si>
  <si>
    <t>Space Left Intentionally Blank for Future Allocations</t>
  </si>
  <si>
    <t>(copy this line and insert above as needed)</t>
  </si>
  <si>
    <t xml:space="preserve">REQUIRED SUPPLEMENTAL ATTACHMENTS </t>
  </si>
  <si>
    <t>RFP Applicant Work Plan Checklist</t>
  </si>
  <si>
    <t>a.      List the ABOR and non-ABOR institutions for whom trainees will be placed.</t>
  </si>
  <si>
    <t>a.      List the types of activities planned for each objective</t>
  </si>
  <si>
    <t>b.      Identify the quarters (Q1, Q2, Q3, Q4) when activities are expected to be occur</t>
  </si>
  <si>
    <t>c.       List the staff member(s) responsible for implementing activities.  Ensure these staff members are identified on the budget justification tab.</t>
  </si>
  <si>
    <t xml:space="preserve">d.      List the community collaborators. </t>
  </si>
  <si>
    <t>e.      List the academic collaborators.</t>
  </si>
  <si>
    <t>f.       List any other collaborators</t>
  </si>
  <si>
    <t>FOR APPLICANT COMPLETION:  Identifies the required schedules and supplemental documents to be submitted with Applicant’s Work Plan.  Submitted documents should demonstrate affiliations with 1) community-based primary care practices or direct center capacity for preparing health professional graduates to practice and address the unique, medically complex needs of rural, border, high disparity underserved Arizona populations and 2)  affiliation with one or more primary care facilities (e.g., FQHC, rural health clinic, critical access hospital, community health center) that are located in rural, border, and/or urban medically underserved settings.</t>
  </si>
  <si>
    <t>2. PERFORMANCE  SCHEDULE</t>
  </si>
  <si>
    <t xml:space="preserve">3.     ACTIVITIES SCHEDULE </t>
  </si>
  <si>
    <t>4.  Budget</t>
  </si>
  <si>
    <t>5. Budget Justification</t>
  </si>
  <si>
    <t>In addition to the project narrative and this checklist, the following tabs of the workplan are required to be completed and submitted:</t>
  </si>
  <si>
    <t>b. Documentation from nationally recognized accrediting agencies for which CE authority is granted. Ensure documentation has dates consistent with this Proposal.</t>
  </si>
  <si>
    <t>a. A copy of applicant's Form 990. If Form 990 is not required to be filed by Applicant, submit a comparable document.</t>
  </si>
  <si>
    <t>d. Letters of Commitment (e.g., formal agreements with specific metrics and timeline)</t>
  </si>
  <si>
    <t>e. A copy of the director's Resume/CV</t>
  </si>
  <si>
    <t>f. A list of the applicants’s board of directors (not less than ten members), including relevant affiliations and terms of service</t>
  </si>
  <si>
    <t>c. A copy of the applicant's most recent audit or statement of exemption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</si>
</sst>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quot;$&quot;#,##0"/>
    <numFmt numFmtId="166" formatCode="_(&quot;$&quot;* #,##0_);_(&quot;$&quot;* \(#,##0\);_(&quot;$&quot;* &quot;-&quot;??_);_(@_)"/>
    <numFmt numFmtId="167" formatCode="0.0%"/>
  </numFmts>
  <fonts count="6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9"/>
      <color theme="1"/>
      <name val="Calibri"/>
      <family val="2"/>
      <scheme val="minor"/>
    </font>
    <font>
      <b/>
      <sz val="9"/>
      <color theme="0"/>
      <name val="Arial"/>
      <family val="2"/>
    </font>
    <font>
      <u/>
      <sz val="9"/>
      <color theme="10"/>
      <name val="Arial"/>
      <family val="2"/>
    </font>
    <font>
      <b/>
      <sz val="9"/>
      <color theme="0"/>
      <name val="Calibri"/>
      <family val="2"/>
      <scheme val="minor"/>
    </font>
    <font>
      <sz val="9"/>
      <name val="Times New Roman"/>
      <family val="1"/>
    </font>
    <font>
      <sz val="9"/>
      <color theme="0"/>
      <name val="Calibri"/>
      <family val="2"/>
      <scheme val="minor"/>
    </font>
    <font>
      <b/>
      <sz val="10"/>
      <color rgb="FFFFFFFF"/>
      <name val="Times New Roman"/>
      <family val="1"/>
    </font>
    <font>
      <b/>
      <sz val="10"/>
      <color theme="1"/>
      <name val="Times New Roman"/>
      <family val="1"/>
    </font>
    <font>
      <sz val="10"/>
      <color theme="1"/>
      <name val="Times New Roman"/>
      <family val="1"/>
    </font>
    <font>
      <b/>
      <sz val="10"/>
      <color theme="0"/>
      <name val="Times New Roman"/>
      <family val="1"/>
    </font>
    <font>
      <vertAlign val="superscript"/>
      <sz val="10"/>
      <color theme="1"/>
      <name val="Times New Roman"/>
      <family val="1"/>
    </font>
    <font>
      <b/>
      <i/>
      <sz val="10"/>
      <color theme="1"/>
      <name val="Times New Roman"/>
      <family val="1"/>
    </font>
    <font>
      <b/>
      <sz val="10"/>
      <color rgb="FFFFFFFF"/>
      <name val="Calibri"/>
      <family val="2"/>
      <scheme val="minor"/>
    </font>
    <font>
      <b/>
      <sz val="10"/>
      <color theme="0"/>
      <name val="Calibri"/>
      <family val="2"/>
      <scheme val="minor"/>
    </font>
    <font>
      <sz val="10"/>
      <name val="Arial"/>
      <family val="2"/>
    </font>
    <font>
      <b/>
      <sz val="10"/>
      <name val="Arial"/>
      <family val="2"/>
    </font>
    <font>
      <sz val="10"/>
      <color rgb="FF0000FF"/>
      <name val="Arial"/>
      <family val="2"/>
    </font>
    <font>
      <b/>
      <u/>
      <sz val="10"/>
      <name val="Arial"/>
      <family val="2"/>
    </font>
    <font>
      <i/>
      <sz val="10"/>
      <name val="Arial"/>
      <family val="2"/>
    </font>
    <font>
      <sz val="10"/>
      <name val="Times New Roman"/>
      <family val="1"/>
    </font>
    <font>
      <sz val="10"/>
      <color rgb="FFFF0000"/>
      <name val="Arial"/>
      <family val="2"/>
    </font>
    <font>
      <sz val="9"/>
      <color rgb="FFFF0000"/>
      <name val="Arial"/>
      <family val="2"/>
    </font>
    <font>
      <sz val="10"/>
      <color theme="0"/>
      <name val="Arial"/>
      <family val="2"/>
    </font>
    <font>
      <b/>
      <sz val="8"/>
      <name val="Arial"/>
      <family val="2"/>
    </font>
    <font>
      <sz val="9"/>
      <color theme="1"/>
      <name val="Times New Roman"/>
      <family val="1"/>
    </font>
    <font>
      <sz val="8"/>
      <color theme="1"/>
      <name val="Times New Roman"/>
      <family val="1"/>
    </font>
    <font>
      <b/>
      <i/>
      <sz val="10"/>
      <color rgb="FFFF0000"/>
      <name val="Times New Roman"/>
      <family val="1"/>
    </font>
    <font>
      <b/>
      <sz val="10"/>
      <color rgb="FFFF0000"/>
      <name val="Times New Roman"/>
      <family val="1"/>
    </font>
    <font>
      <sz val="14"/>
      <color theme="1"/>
      <name val="Calibri"/>
      <family val="2"/>
      <scheme val="minor"/>
    </font>
    <font>
      <sz val="18"/>
      <color theme="1"/>
      <name val="Calibri"/>
      <family val="2"/>
      <scheme val="minor"/>
    </font>
    <font>
      <sz val="18"/>
      <color theme="0"/>
      <name val="Arial"/>
      <family val="2"/>
    </font>
    <font>
      <sz val="18"/>
      <name val="Arial"/>
      <family val="2"/>
    </font>
    <font>
      <sz val="10"/>
      <color theme="1"/>
      <name val="Arial"/>
      <family val="2"/>
    </font>
    <font>
      <sz val="10"/>
      <color rgb="FF000000"/>
      <name val="Arial"/>
      <family val="2"/>
    </font>
    <font>
      <b/>
      <sz val="10"/>
      <color theme="0"/>
      <name val="Arial"/>
      <family val="2"/>
    </font>
    <font>
      <i/>
      <sz val="10"/>
      <color theme="1"/>
      <name val="Arial"/>
      <family val="2"/>
    </font>
    <font>
      <b/>
      <sz val="14"/>
      <color rgb="FFFF0000"/>
      <name val="Arial"/>
      <family val="2"/>
    </font>
    <font>
      <sz val="8"/>
      <color rgb="FF0000FF"/>
      <name val="Calibri"/>
      <family val="2"/>
      <scheme val="minor"/>
    </font>
    <font>
      <sz val="8"/>
      <name val="Times New Roman"/>
      <family val="1"/>
    </font>
    <font>
      <b/>
      <sz val="14"/>
      <color theme="0"/>
      <name val="Calibri"/>
      <family val="2"/>
      <scheme val="minor"/>
    </font>
    <font>
      <i/>
      <sz val="9"/>
      <color theme="1"/>
      <name val="Calibri"/>
      <family val="2"/>
      <scheme val="minor"/>
    </font>
    <font>
      <i/>
      <sz val="11"/>
      <color theme="1"/>
      <name val="Calibri"/>
      <family val="2"/>
      <scheme val="minor"/>
    </font>
    <font>
      <b/>
      <sz val="12"/>
      <color rgb="FFFF0000"/>
      <name val="Arial"/>
      <family val="2"/>
    </font>
    <font>
      <sz val="10"/>
      <color theme="1"/>
      <name val="Calibri"/>
      <family val="2"/>
      <scheme val="minor"/>
    </font>
    <font>
      <b/>
      <sz val="14"/>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sz val="10"/>
      <color rgb="FFFF0000"/>
      <name val="Calibri"/>
      <family val="2"/>
      <scheme val="minor"/>
    </font>
    <font>
      <b/>
      <sz val="14"/>
      <color rgb="FFFFFFFF"/>
      <name val="Times New Roman"/>
      <family val="1"/>
    </font>
    <font>
      <b/>
      <sz val="14"/>
      <color rgb="FF000000"/>
      <name val="Times New Roman"/>
      <family val="1"/>
    </font>
    <font>
      <b/>
      <sz val="14"/>
      <name val="Times New Roman"/>
      <family val="1"/>
    </font>
    <font>
      <b/>
      <sz val="14"/>
      <color theme="1"/>
      <name val="Times New Roman"/>
      <family val="1"/>
    </font>
    <font>
      <sz val="14"/>
      <color theme="1"/>
      <name val="Times New Roman"/>
      <family val="1"/>
    </font>
    <font>
      <b/>
      <sz val="14"/>
      <color rgb="FFFF0000"/>
      <name val="Times New Roman"/>
      <family val="1"/>
    </font>
    <font>
      <u/>
      <sz val="14"/>
      <color theme="1"/>
      <name val="Times New Roman"/>
      <family val="1"/>
    </font>
    <font>
      <sz val="14"/>
      <color rgb="FFFF0000"/>
      <name val="Times New Roman"/>
      <family val="1"/>
    </font>
    <font>
      <b/>
      <sz val="14"/>
      <color theme="0"/>
      <name val="Times New Roman"/>
      <family val="1"/>
    </font>
    <font>
      <sz val="14"/>
      <color rgb="FF000000"/>
      <name val="Times New Roman"/>
      <family val="1"/>
    </font>
    <font>
      <sz val="14"/>
      <name val="Times New Roman"/>
      <family val="1"/>
    </font>
    <font>
      <sz val="10"/>
      <color theme="0"/>
      <name val="Calibri"/>
      <family val="2"/>
      <scheme val="minor"/>
    </font>
    <font>
      <u/>
      <sz val="11"/>
      <color theme="4" tint="-0.249977111117893"/>
      <name val="Calibri"/>
      <family val="2"/>
      <scheme val="minor"/>
    </font>
  </fonts>
  <fills count="25">
    <fill>
      <patternFill patternType="none"/>
    </fill>
    <fill>
      <patternFill patternType="gray125"/>
    </fill>
    <fill>
      <patternFill patternType="solid">
        <fgColor theme="1" tint="0.499984740745262"/>
        <bgColor indexed="64"/>
      </patternFill>
    </fill>
    <fill>
      <patternFill patternType="solid">
        <fgColor theme="6" tint="-0.249977111117893"/>
        <bgColor indexed="64"/>
      </patternFill>
    </fill>
    <fill>
      <patternFill patternType="solid">
        <fgColor theme="7"/>
        <bgColor indexed="64"/>
      </patternFill>
    </fill>
    <fill>
      <patternFill patternType="solid">
        <fgColor theme="9"/>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000080"/>
        <bgColor indexed="64"/>
      </patternFill>
    </fill>
    <fill>
      <patternFill patternType="solid">
        <fgColor theme="0" tint="-0.34998626667073579"/>
        <bgColor indexed="64"/>
      </patternFill>
    </fill>
    <fill>
      <patternFill patternType="solid">
        <fgColor theme="0"/>
        <bgColor indexed="64"/>
      </patternFill>
    </fill>
    <fill>
      <patternFill patternType="lightUp">
        <bgColor theme="7" tint="0.59999389629810485"/>
      </patternFill>
    </fill>
    <fill>
      <patternFill patternType="lightUp">
        <bgColor theme="4" tint="0.59999389629810485"/>
      </patternFill>
    </fill>
    <fill>
      <patternFill patternType="solid">
        <fgColor rgb="FFDEEAF6"/>
        <bgColor indexed="64"/>
      </patternFill>
    </fill>
    <fill>
      <patternFill patternType="solid">
        <fgColor theme="8" tint="0.79998168889431442"/>
        <bgColor indexed="64"/>
      </patternFill>
    </fill>
    <fill>
      <patternFill patternType="solid">
        <fgColor rgb="FFFFFF00"/>
        <bgColor indexed="64"/>
      </patternFill>
    </fill>
    <fill>
      <patternFill patternType="solid">
        <fgColor rgb="FFCCCCFF"/>
        <bgColor indexed="64"/>
      </patternFill>
    </fill>
    <fill>
      <patternFill patternType="solid">
        <fgColor rgb="FFFFFFCC"/>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99"/>
        <bgColor indexed="64"/>
      </patternFill>
    </fill>
    <fill>
      <patternFill patternType="lightUp">
        <bgColor theme="6" tint="-0.249977111117893"/>
      </patternFill>
    </fill>
    <fill>
      <patternFill patternType="solid">
        <fgColor theme="2"/>
        <bgColor indexed="64"/>
      </patternFill>
    </fill>
  </fills>
  <borders count="5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diagonal/>
    </border>
    <border>
      <left style="medium">
        <color indexed="64"/>
      </left>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medium">
        <color indexed="64"/>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0" fontId="20" fillId="0" borderId="0"/>
    <xf numFmtId="43" fontId="20" fillId="0" borderId="0" applyFont="0" applyFill="0" applyBorder="0" applyAlignment="0" applyProtection="0"/>
    <xf numFmtId="44" fontId="20" fillId="0" borderId="0" applyFont="0" applyFill="0" applyBorder="0" applyAlignment="0" applyProtection="0"/>
    <xf numFmtId="0" fontId="20" fillId="0" borderId="0"/>
    <xf numFmtId="9" fontId="1" fillId="0" borderId="0" applyFont="0" applyFill="0" applyBorder="0" applyAlignment="0" applyProtection="0"/>
  </cellStyleXfs>
  <cellXfs count="488">
    <xf numFmtId="0" fontId="0" fillId="0" borderId="0" xfId="0"/>
    <xf numFmtId="0" fontId="4" fillId="0" borderId="0" xfId="0" applyFont="1"/>
    <xf numFmtId="0" fontId="4" fillId="0" borderId="0" xfId="0" applyFont="1" applyAlignment="1">
      <alignment wrapText="1"/>
    </xf>
    <xf numFmtId="0" fontId="4" fillId="0" borderId="5" xfId="0" applyFont="1" applyBorder="1"/>
    <xf numFmtId="0" fontId="4" fillId="0" borderId="3" xfId="0" applyFont="1" applyBorder="1"/>
    <xf numFmtId="0" fontId="4" fillId="0" borderId="8" xfId="0" applyFont="1" applyBorder="1"/>
    <xf numFmtId="0" fontId="6" fillId="0" borderId="0" xfId="0" applyFont="1" applyAlignment="1">
      <alignment vertical="top" wrapText="1"/>
    </xf>
    <xf numFmtId="0" fontId="7" fillId="3" borderId="10" xfId="0" applyFont="1" applyFill="1" applyBorder="1" applyAlignment="1">
      <alignment vertical="top" wrapText="1"/>
    </xf>
    <xf numFmtId="0" fontId="5" fillId="0" borderId="10" xfId="3" applyBorder="1" applyAlignment="1">
      <alignment vertical="top" wrapText="1"/>
    </xf>
    <xf numFmtId="0" fontId="8" fillId="0" borderId="10" xfId="3" applyFont="1" applyBorder="1" applyAlignment="1">
      <alignment vertical="top" wrapText="1"/>
    </xf>
    <xf numFmtId="0" fontId="0" fillId="0" borderId="0" xfId="0" applyAlignment="1">
      <alignment wrapText="1"/>
    </xf>
    <xf numFmtId="0" fontId="9" fillId="3" borderId="10" xfId="0" applyFont="1" applyFill="1" applyBorder="1" applyAlignment="1">
      <alignment wrapText="1"/>
    </xf>
    <xf numFmtId="0" fontId="6" fillId="0" borderId="0" xfId="0" applyFont="1" applyAlignment="1">
      <alignment wrapText="1"/>
    </xf>
    <xf numFmtId="0" fontId="11" fillId="0" borderId="0" xfId="0" applyFont="1" applyAlignment="1">
      <alignment wrapText="1"/>
    </xf>
    <xf numFmtId="0" fontId="12" fillId="2" borderId="14" xfId="0" applyFont="1" applyFill="1" applyBorder="1" applyAlignment="1">
      <alignment vertical="center" wrapText="1"/>
    </xf>
    <xf numFmtId="0" fontId="12" fillId="2" borderId="9" xfId="0" applyFont="1" applyFill="1" applyBorder="1" applyAlignment="1">
      <alignment vertical="center" wrapText="1"/>
    </xf>
    <xf numFmtId="0" fontId="12" fillId="2" borderId="10" xfId="0" applyFont="1" applyFill="1" applyBorder="1" applyAlignment="1">
      <alignment vertical="center" wrapText="1"/>
    </xf>
    <xf numFmtId="0" fontId="14" fillId="0" borderId="4" xfId="0" applyFont="1" applyBorder="1" applyAlignment="1">
      <alignment vertical="center" wrapText="1"/>
    </xf>
    <xf numFmtId="0" fontId="14" fillId="0" borderId="10" xfId="0" applyFont="1" applyBorder="1" applyAlignment="1">
      <alignment vertical="center" wrapText="1"/>
    </xf>
    <xf numFmtId="0" fontId="14" fillId="0" borderId="0" xfId="0" applyFont="1" applyAlignment="1">
      <alignment vertical="center" wrapText="1"/>
    </xf>
    <xf numFmtId="0" fontId="0" fillId="0" borderId="4" xfId="0" applyBorder="1" applyAlignment="1">
      <alignment vertical="top" wrapText="1"/>
    </xf>
    <xf numFmtId="0" fontId="0" fillId="0" borderId="9" xfId="0" applyBorder="1" applyAlignment="1">
      <alignment vertical="top" wrapText="1"/>
    </xf>
    <xf numFmtId="0" fontId="14" fillId="0" borderId="9" xfId="0" applyFont="1" applyBorder="1" applyAlignment="1">
      <alignment vertical="center" wrapText="1"/>
    </xf>
    <xf numFmtId="0" fontId="0" fillId="0" borderId="10" xfId="0" applyBorder="1"/>
    <xf numFmtId="0" fontId="18" fillId="2" borderId="14" xfId="0" applyFont="1" applyFill="1" applyBorder="1" applyAlignment="1">
      <alignment vertical="center" wrapText="1"/>
    </xf>
    <xf numFmtId="0" fontId="18" fillId="2" borderId="4" xfId="0" applyFont="1" applyFill="1" applyBorder="1" applyAlignment="1">
      <alignment vertical="center" wrapText="1"/>
    </xf>
    <xf numFmtId="0" fontId="19" fillId="2" borderId="0" xfId="0" applyFont="1" applyFill="1"/>
    <xf numFmtId="0" fontId="19" fillId="2" borderId="0" xfId="0" applyFont="1" applyFill="1" applyAlignment="1">
      <alignment horizontal="center" wrapText="1"/>
    </xf>
    <xf numFmtId="0" fontId="2" fillId="0" borderId="0" xfId="0" applyFont="1"/>
    <xf numFmtId="9" fontId="0" fillId="0" borderId="10" xfId="0" applyNumberFormat="1" applyBorder="1"/>
    <xf numFmtId="164" fontId="0" fillId="8" borderId="26" xfId="1" applyNumberFormat="1" applyFont="1" applyFill="1" applyBorder="1"/>
    <xf numFmtId="164" fontId="0" fillId="11" borderId="26" xfId="1" applyNumberFormat="1" applyFont="1" applyFill="1" applyBorder="1"/>
    <xf numFmtId="164" fontId="0" fillId="0" borderId="10" xfId="1" applyNumberFormat="1" applyFont="1" applyFill="1" applyBorder="1"/>
    <xf numFmtId="0" fontId="18" fillId="2" borderId="10" xfId="0" applyFont="1" applyFill="1" applyBorder="1" applyAlignment="1">
      <alignment vertical="top" wrapText="1"/>
    </xf>
    <xf numFmtId="0" fontId="19" fillId="2" borderId="10" xfId="0" applyFont="1" applyFill="1" applyBorder="1" applyAlignment="1">
      <alignment vertical="top"/>
    </xf>
    <xf numFmtId="0" fontId="19" fillId="2" borderId="10" xfId="0" applyFont="1" applyFill="1" applyBorder="1" applyAlignment="1">
      <alignment vertical="top" wrapText="1"/>
    </xf>
    <xf numFmtId="0" fontId="19" fillId="2" borderId="10" xfId="0" applyFont="1" applyFill="1" applyBorder="1" applyAlignment="1">
      <alignment vertical="top" wrapText="1" shrinkToFit="1"/>
    </xf>
    <xf numFmtId="0" fontId="19" fillId="2" borderId="0" xfId="0" applyFont="1" applyFill="1" applyAlignment="1">
      <alignment vertical="top" wrapText="1"/>
    </xf>
    <xf numFmtId="0" fontId="0" fillId="0" borderId="0" xfId="0" applyAlignment="1">
      <alignment vertical="top"/>
    </xf>
    <xf numFmtId="9" fontId="0" fillId="0" borderId="23" xfId="0" applyNumberFormat="1" applyBorder="1"/>
    <xf numFmtId="0" fontId="0" fillId="0" borderId="23" xfId="0" applyBorder="1"/>
    <xf numFmtId="0" fontId="0" fillId="11" borderId="23" xfId="0" applyFill="1" applyBorder="1"/>
    <xf numFmtId="1" fontId="0" fillId="8" borderId="10" xfId="0" applyNumberFormat="1" applyFill="1" applyBorder="1"/>
    <xf numFmtId="0" fontId="0" fillId="11" borderId="10" xfId="0" applyFill="1" applyBorder="1"/>
    <xf numFmtId="0" fontId="0" fillId="11" borderId="32" xfId="0" applyFill="1" applyBorder="1"/>
    <xf numFmtId="0" fontId="0" fillId="11" borderId="33" xfId="0" applyFill="1" applyBorder="1"/>
    <xf numFmtId="0" fontId="0" fillId="9" borderId="10" xfId="0" applyFill="1" applyBorder="1"/>
    <xf numFmtId="0" fontId="3" fillId="9" borderId="10" xfId="0" applyFont="1" applyFill="1" applyBorder="1"/>
    <xf numFmtId="0" fontId="4" fillId="9" borderId="10" xfId="0" applyFont="1" applyFill="1" applyBorder="1"/>
    <xf numFmtId="9" fontId="0" fillId="0" borderId="0" xfId="0" applyNumberFormat="1"/>
    <xf numFmtId="0" fontId="12" fillId="2" borderId="26" xfId="0" applyFont="1" applyFill="1" applyBorder="1" applyAlignment="1">
      <alignment vertical="center" wrapText="1"/>
    </xf>
    <xf numFmtId="0" fontId="12" fillId="2" borderId="0" xfId="0" applyFont="1" applyFill="1" applyAlignment="1">
      <alignment vertical="center" wrapText="1"/>
    </xf>
    <xf numFmtId="0" fontId="14" fillId="0" borderId="35" xfId="0" applyFont="1" applyBorder="1" applyAlignment="1">
      <alignment vertical="center" wrapText="1"/>
    </xf>
    <xf numFmtId="39" fontId="21" fillId="0" borderId="27" xfId="4" applyNumberFormat="1" applyFont="1" applyBorder="1" applyAlignment="1">
      <alignment horizontal="left"/>
    </xf>
    <xf numFmtId="42" fontId="21" fillId="0" borderId="42" xfId="4" applyNumberFormat="1" applyFont="1" applyBorder="1"/>
    <xf numFmtId="39" fontId="21" fillId="0" borderId="42" xfId="4" applyNumberFormat="1" applyFont="1" applyBorder="1"/>
    <xf numFmtId="42" fontId="21" fillId="0" borderId="41" xfId="4" applyNumberFormat="1" applyFont="1" applyBorder="1"/>
    <xf numFmtId="0" fontId="21" fillId="0" borderId="0" xfId="4" applyFont="1"/>
    <xf numFmtId="39" fontId="21" fillId="0" borderId="38" xfId="4" applyNumberFormat="1" applyFont="1" applyBorder="1" applyAlignment="1">
      <alignment horizontal="left"/>
    </xf>
    <xf numFmtId="42" fontId="21" fillId="0" borderId="0" xfId="4" applyNumberFormat="1" applyFont="1"/>
    <xf numFmtId="39" fontId="20" fillId="0" borderId="0" xfId="4" applyNumberFormat="1"/>
    <xf numFmtId="42" fontId="20" fillId="0" borderId="0" xfId="4" applyNumberFormat="1"/>
    <xf numFmtId="42" fontId="20" fillId="0" borderId="32" xfId="4" applyNumberFormat="1" applyBorder="1"/>
    <xf numFmtId="0" fontId="20" fillId="0" borderId="0" xfId="4"/>
    <xf numFmtId="0" fontId="21" fillId="0" borderId="39" xfId="4" applyFont="1" applyBorder="1"/>
    <xf numFmtId="0" fontId="20" fillId="0" borderId="18" xfId="4" applyBorder="1"/>
    <xf numFmtId="39" fontId="20" fillId="0" borderId="18" xfId="4" applyNumberFormat="1" applyBorder="1"/>
    <xf numFmtId="42" fontId="20" fillId="0" borderId="18" xfId="4" applyNumberFormat="1" applyBorder="1"/>
    <xf numFmtId="42" fontId="20" fillId="0" borderId="33" xfId="4" applyNumberFormat="1" applyBorder="1"/>
    <xf numFmtId="0" fontId="20" fillId="0" borderId="27" xfId="4" applyBorder="1"/>
    <xf numFmtId="0" fontId="20" fillId="0" borderId="42" xfId="4" applyBorder="1"/>
    <xf numFmtId="42" fontId="20" fillId="0" borderId="42" xfId="4" applyNumberFormat="1" applyBorder="1"/>
    <xf numFmtId="10" fontId="20" fillId="0" borderId="42" xfId="4" applyNumberFormat="1" applyBorder="1"/>
    <xf numFmtId="39" fontId="20" fillId="0" borderId="42" xfId="4" applyNumberFormat="1" applyBorder="1"/>
    <xf numFmtId="42" fontId="20" fillId="0" borderId="41" xfId="4" applyNumberFormat="1" applyBorder="1"/>
    <xf numFmtId="42" fontId="20" fillId="0" borderId="26" xfId="4" applyNumberFormat="1" applyBorder="1"/>
    <xf numFmtId="0" fontId="21" fillId="0" borderId="38" xfId="4" applyFont="1" applyBorder="1"/>
    <xf numFmtId="10" fontId="21" fillId="0" borderId="0" xfId="4" applyNumberFormat="1" applyFont="1"/>
    <xf numFmtId="42" fontId="21" fillId="0" borderId="32" xfId="4" applyNumberFormat="1" applyFont="1" applyBorder="1"/>
    <xf numFmtId="0" fontId="23" fillId="0" borderId="39" xfId="4" applyFont="1" applyBorder="1" applyAlignment="1">
      <alignment vertical="top"/>
    </xf>
    <xf numFmtId="10" fontId="20" fillId="0" borderId="18" xfId="4" applyNumberFormat="1" applyBorder="1"/>
    <xf numFmtId="42" fontId="21" fillId="0" borderId="18" xfId="4" applyNumberFormat="1" applyFont="1" applyBorder="1" applyAlignment="1">
      <alignment horizontal="center"/>
    </xf>
    <xf numFmtId="42" fontId="21" fillId="0" borderId="18" xfId="4" applyNumberFormat="1" applyFont="1" applyBorder="1" applyAlignment="1">
      <alignment horizontal="left"/>
    </xf>
    <xf numFmtId="0" fontId="21" fillId="0" borderId="27" xfId="4" applyFont="1" applyBorder="1" applyAlignment="1">
      <alignment horizontal="center" wrapText="1"/>
    </xf>
    <xf numFmtId="0" fontId="21" fillId="0" borderId="26" xfId="4" applyFont="1" applyBorder="1" applyAlignment="1">
      <alignment horizontal="center" wrapText="1"/>
    </xf>
    <xf numFmtId="42" fontId="21" fillId="0" borderId="26" xfId="4" applyNumberFormat="1" applyFont="1" applyBorder="1" applyAlignment="1">
      <alignment horizontal="center" wrapText="1"/>
    </xf>
    <xf numFmtId="42" fontId="21" fillId="0" borderId="41" xfId="4" applyNumberFormat="1" applyFont="1" applyBorder="1" applyAlignment="1">
      <alignment horizontal="center" wrapText="1"/>
    </xf>
    <xf numFmtId="0" fontId="20" fillId="0" borderId="0" xfId="4" applyAlignment="1">
      <alignment wrapText="1"/>
    </xf>
    <xf numFmtId="42" fontId="20" fillId="8" borderId="10" xfId="4" applyNumberFormat="1" applyFill="1" applyBorder="1"/>
    <xf numFmtId="42" fontId="20" fillId="8" borderId="10" xfId="6" applyNumberFormat="1" applyFont="1" applyFill="1" applyBorder="1"/>
    <xf numFmtId="43" fontId="20" fillId="0" borderId="0" xfId="4" applyNumberFormat="1"/>
    <xf numFmtId="42" fontId="20" fillId="6" borderId="10" xfId="6" applyNumberFormat="1" applyFont="1" applyFill="1" applyBorder="1"/>
    <xf numFmtId="0" fontId="21" fillId="0" borderId="29" xfId="4" applyFont="1" applyBorder="1"/>
    <xf numFmtId="42" fontId="21" fillId="8" borderId="29" xfId="4" applyNumberFormat="1" applyFont="1" applyFill="1" applyBorder="1"/>
    <xf numFmtId="0" fontId="23" fillId="0" borderId="38" xfId="4" applyFont="1" applyBorder="1"/>
    <xf numFmtId="10" fontId="20" fillId="0" borderId="0" xfId="4" applyNumberFormat="1" applyAlignment="1">
      <alignment horizontal="right"/>
    </xf>
    <xf numFmtId="44" fontId="20" fillId="0" borderId="23" xfId="6" applyFont="1" applyFill="1" applyBorder="1"/>
    <xf numFmtId="10" fontId="23" fillId="0" borderId="0" xfId="4" applyNumberFormat="1" applyFont="1"/>
    <xf numFmtId="42" fontId="20" fillId="0" borderId="23" xfId="6" applyNumberFormat="1" applyFont="1" applyFill="1" applyBorder="1"/>
    <xf numFmtId="0" fontId="20" fillId="0" borderId="38" xfId="4" applyBorder="1"/>
    <xf numFmtId="10" fontId="20" fillId="0" borderId="0" xfId="4" applyNumberFormat="1"/>
    <xf numFmtId="0" fontId="21" fillId="0" borderId="18" xfId="4" applyFont="1" applyBorder="1" applyAlignment="1">
      <alignment horizontal="left"/>
    </xf>
    <xf numFmtId="42" fontId="21" fillId="0" borderId="18" xfId="4" applyNumberFormat="1" applyFont="1" applyBorder="1"/>
    <xf numFmtId="0" fontId="21" fillId="0" borderId="18" xfId="4" applyFont="1" applyBorder="1" applyAlignment="1">
      <alignment horizontal="right"/>
    </xf>
    <xf numFmtId="39" fontId="21" fillId="0" borderId="18" xfId="4" applyNumberFormat="1" applyFont="1" applyBorder="1"/>
    <xf numFmtId="42" fontId="21" fillId="0" borderId="18" xfId="4" applyNumberFormat="1" applyFont="1" applyBorder="1" applyAlignment="1">
      <alignment horizontal="right"/>
    </xf>
    <xf numFmtId="42" fontId="21" fillId="8" borderId="10" xfId="6" applyNumberFormat="1" applyFont="1" applyFill="1" applyBorder="1"/>
    <xf numFmtId="10" fontId="21" fillId="0" borderId="18" xfId="4" applyNumberFormat="1" applyFont="1" applyBorder="1"/>
    <xf numFmtId="10" fontId="21" fillId="0" borderId="0" xfId="4" applyNumberFormat="1" applyFont="1" applyAlignment="1">
      <alignment horizontal="right"/>
    </xf>
    <xf numFmtId="39" fontId="21" fillId="0" borderId="0" xfId="4" applyNumberFormat="1" applyFont="1"/>
    <xf numFmtId="42" fontId="21" fillId="0" borderId="10" xfId="6" applyNumberFormat="1" applyFont="1" applyFill="1" applyBorder="1"/>
    <xf numFmtId="3" fontId="21" fillId="0" borderId="0" xfId="4" applyNumberFormat="1" applyFont="1"/>
    <xf numFmtId="3" fontId="20" fillId="0" borderId="0" xfId="4" applyNumberFormat="1"/>
    <xf numFmtId="42" fontId="20" fillId="0" borderId="10" xfId="6" applyNumberFormat="1" applyFont="1" applyFill="1" applyBorder="1"/>
    <xf numFmtId="0" fontId="20" fillId="0" borderId="0" xfId="4" applyAlignment="1">
      <alignment horizontal="center"/>
    </xf>
    <xf numFmtId="42" fontId="20" fillId="0" borderId="0" xfId="4" applyNumberFormat="1" applyAlignment="1">
      <alignment horizontal="center"/>
    </xf>
    <xf numFmtId="43" fontId="21" fillId="0" borderId="0" xfId="5" applyFont="1" applyFill="1"/>
    <xf numFmtId="165" fontId="20" fillId="0" borderId="0" xfId="4" applyNumberFormat="1"/>
    <xf numFmtId="42" fontId="21" fillId="0" borderId="23" xfId="6" applyNumberFormat="1" applyFont="1" applyFill="1" applyBorder="1"/>
    <xf numFmtId="0" fontId="20" fillId="12" borderId="38" xfId="4" applyFill="1" applyBorder="1"/>
    <xf numFmtId="0" fontId="24" fillId="0" borderId="0" xfId="4" applyFont="1"/>
    <xf numFmtId="42" fontId="21" fillId="13" borderId="10" xfId="4" applyNumberFormat="1" applyFont="1" applyFill="1" applyBorder="1"/>
    <xf numFmtId="0" fontId="21" fillId="0" borderId="0" xfId="4" applyFont="1" applyAlignment="1">
      <alignment horizontal="left"/>
    </xf>
    <xf numFmtId="0" fontId="21" fillId="0" borderId="0" xfId="4" applyFont="1" applyAlignment="1">
      <alignment horizontal="right"/>
    </xf>
    <xf numFmtId="0" fontId="21" fillId="0" borderId="27" xfId="4" applyFont="1" applyBorder="1"/>
    <xf numFmtId="0" fontId="21" fillId="0" borderId="42" xfId="4" applyFont="1" applyBorder="1" applyAlignment="1">
      <alignment horizontal="left"/>
    </xf>
    <xf numFmtId="0" fontId="21" fillId="0" borderId="42" xfId="4" applyFont="1" applyBorder="1" applyAlignment="1">
      <alignment horizontal="right"/>
    </xf>
    <xf numFmtId="42" fontId="21" fillId="8" borderId="10" xfId="5" applyNumberFormat="1" applyFont="1" applyFill="1" applyBorder="1"/>
    <xf numFmtId="39" fontId="21" fillId="0" borderId="27" xfId="4" applyNumberFormat="1" applyFont="1" applyBorder="1"/>
    <xf numFmtId="39" fontId="21" fillId="0" borderId="38" xfId="4" applyNumberFormat="1" applyFont="1" applyBorder="1"/>
    <xf numFmtId="42" fontId="21" fillId="8" borderId="10" xfId="4" applyNumberFormat="1" applyFont="1" applyFill="1" applyBorder="1"/>
    <xf numFmtId="42" fontId="21" fillId="14" borderId="10" xfId="4" applyNumberFormat="1" applyFont="1" applyFill="1" applyBorder="1"/>
    <xf numFmtId="0" fontId="20" fillId="0" borderId="0" xfId="4" applyAlignment="1">
      <alignment horizontal="right"/>
    </xf>
    <xf numFmtId="39" fontId="20" fillId="0" borderId="38" xfId="4" applyNumberFormat="1" applyBorder="1"/>
    <xf numFmtId="0" fontId="21" fillId="0" borderId="18" xfId="4" applyFont="1" applyBorder="1"/>
    <xf numFmtId="39" fontId="20" fillId="0" borderId="39" xfId="4" applyNumberFormat="1" applyBorder="1"/>
    <xf numFmtId="42" fontId="20" fillId="8" borderId="0" xfId="4" applyNumberFormat="1" applyFill="1"/>
    <xf numFmtId="43" fontId="21" fillId="0" borderId="0" xfId="5" applyFont="1"/>
    <xf numFmtId="43" fontId="20" fillId="0" borderId="0" xfId="1" applyFont="1"/>
    <xf numFmtId="166" fontId="4" fillId="0" borderId="4" xfId="2" applyNumberFormat="1" applyFont="1" applyBorder="1"/>
    <xf numFmtId="166" fontId="4" fillId="0" borderId="3" xfId="0" applyNumberFormat="1" applyFont="1" applyBorder="1"/>
    <xf numFmtId="166" fontId="4" fillId="0" borderId="3" xfId="2" applyNumberFormat="1" applyFont="1" applyBorder="1"/>
    <xf numFmtId="166" fontId="4" fillId="0" borderId="9" xfId="2" applyNumberFormat="1" applyFont="1" applyBorder="1"/>
    <xf numFmtId="166" fontId="4" fillId="0" borderId="8" xfId="0" applyNumberFormat="1" applyFont="1" applyBorder="1"/>
    <xf numFmtId="166" fontId="4" fillId="0" borderId="8" xfId="2" applyNumberFormat="1" applyFont="1" applyBorder="1"/>
    <xf numFmtId="166" fontId="0" fillId="0" borderId="0" xfId="0" applyNumberFormat="1"/>
    <xf numFmtId="10" fontId="21" fillId="0" borderId="27" xfId="4" applyNumberFormat="1" applyFont="1" applyBorder="1" applyAlignment="1">
      <alignment horizontal="center" wrapText="1"/>
    </xf>
    <xf numFmtId="39" fontId="21" fillId="0" borderId="35" xfId="4" applyNumberFormat="1" applyFont="1" applyBorder="1" applyAlignment="1">
      <alignment horizontal="center"/>
    </xf>
    <xf numFmtId="39" fontId="21" fillId="0" borderId="25" xfId="4" applyNumberFormat="1" applyFont="1" applyBorder="1" applyAlignment="1">
      <alignment horizontal="center" wrapText="1"/>
    </xf>
    <xf numFmtId="39" fontId="21" fillId="8" borderId="28" xfId="4" applyNumberFormat="1" applyFont="1" applyFill="1" applyBorder="1"/>
    <xf numFmtId="42" fontId="20" fillId="0" borderId="17" xfId="4" applyNumberFormat="1" applyBorder="1"/>
    <xf numFmtId="42" fontId="21" fillId="0" borderId="19" xfId="4" applyNumberFormat="1" applyFont="1" applyBorder="1" applyAlignment="1">
      <alignment horizontal="center" wrapText="1"/>
    </xf>
    <xf numFmtId="42" fontId="20" fillId="8" borderId="44" xfId="6" applyNumberFormat="1" applyFont="1" applyFill="1" applyBorder="1"/>
    <xf numFmtId="42" fontId="21" fillId="8" borderId="45" xfId="6" applyNumberFormat="1" applyFont="1" applyFill="1" applyBorder="1"/>
    <xf numFmtId="42" fontId="21" fillId="0" borderId="32" xfId="4" applyNumberFormat="1" applyFont="1" applyBorder="1" applyAlignment="1">
      <alignment horizontal="center"/>
    </xf>
    <xf numFmtId="42" fontId="20" fillId="8" borderId="40" xfId="6" applyNumberFormat="1" applyFont="1" applyFill="1" applyBorder="1"/>
    <xf numFmtId="39" fontId="21" fillId="0" borderId="35" xfId="4" applyNumberFormat="1" applyFont="1" applyBorder="1" applyAlignment="1">
      <alignment horizontal="left"/>
    </xf>
    <xf numFmtId="0" fontId="14" fillId="0" borderId="0" xfId="0" applyFont="1" applyAlignment="1">
      <alignment wrapText="1"/>
    </xf>
    <xf numFmtId="0" fontId="19" fillId="2" borderId="0" xfId="0" applyFont="1" applyFill="1" applyAlignment="1">
      <alignment vertical="top" wrapText="1" shrinkToFit="1"/>
    </xf>
    <xf numFmtId="0" fontId="3" fillId="9" borderId="32" xfId="0" applyFont="1" applyFill="1" applyBorder="1"/>
    <xf numFmtId="0" fontId="3" fillId="9" borderId="33" xfId="0" applyFont="1" applyFill="1" applyBorder="1"/>
    <xf numFmtId="0" fontId="0" fillId="9" borderId="32" xfId="0" applyFill="1" applyBorder="1"/>
    <xf numFmtId="0" fontId="0" fillId="9" borderId="33" xfId="0" applyFill="1" applyBorder="1"/>
    <xf numFmtId="0" fontId="0" fillId="8" borderId="10" xfId="0" applyFill="1" applyBorder="1"/>
    <xf numFmtId="0" fontId="4" fillId="0" borderId="6" xfId="0" applyFont="1" applyBorder="1"/>
    <xf numFmtId="166" fontId="4" fillId="0" borderId="7" xfId="2" applyNumberFormat="1" applyFont="1" applyFill="1" applyBorder="1"/>
    <xf numFmtId="166" fontId="4" fillId="0" borderId="6" xfId="0" applyNumberFormat="1" applyFont="1" applyBorder="1"/>
    <xf numFmtId="166" fontId="4" fillId="0" borderId="6" xfId="2" applyNumberFormat="1" applyFont="1" applyFill="1" applyBorder="1"/>
    <xf numFmtId="166" fontId="4" fillId="0" borderId="4" xfId="2" applyNumberFormat="1" applyFont="1" applyFill="1" applyBorder="1"/>
    <xf numFmtId="166" fontId="4" fillId="0" borderId="3" xfId="2" applyNumberFormat="1" applyFont="1" applyFill="1" applyBorder="1"/>
    <xf numFmtId="166" fontId="4" fillId="0" borderId="6" xfId="1" applyNumberFormat="1" applyFont="1" applyFill="1" applyBorder="1"/>
    <xf numFmtId="166" fontId="4" fillId="0" borderId="3" xfId="1" applyNumberFormat="1" applyFont="1" applyFill="1" applyBorder="1"/>
    <xf numFmtId="166" fontId="4" fillId="0" borderId="6" xfId="0" quotePrefix="1" applyNumberFormat="1" applyFont="1" applyBorder="1"/>
    <xf numFmtId="0" fontId="20" fillId="12" borderId="10" xfId="4" applyFill="1" applyBorder="1"/>
    <xf numFmtId="0" fontId="21" fillId="0" borderId="0" xfId="4" applyFont="1" applyAlignment="1">
      <alignment horizontal="center"/>
    </xf>
    <xf numFmtId="44" fontId="21" fillId="0" borderId="0" xfId="2" applyFont="1" applyAlignment="1">
      <alignment horizontal="center"/>
    </xf>
    <xf numFmtId="0" fontId="27" fillId="0" borderId="0" xfId="4" applyFont="1"/>
    <xf numFmtId="0" fontId="26" fillId="0" borderId="0" xfId="4" applyFont="1" applyAlignment="1">
      <alignment horizontal="center"/>
    </xf>
    <xf numFmtId="0" fontId="28" fillId="12" borderId="0" xfId="4" applyFont="1" applyFill="1"/>
    <xf numFmtId="0" fontId="21" fillId="0" borderId="31" xfId="4" applyFont="1" applyBorder="1" applyAlignment="1">
      <alignment horizontal="center" wrapText="1"/>
    </xf>
    <xf numFmtId="14" fontId="21" fillId="0" borderId="12" xfId="4" applyNumberFormat="1" applyFont="1" applyBorder="1" applyAlignment="1">
      <alignment horizontal="center" wrapText="1"/>
    </xf>
    <xf numFmtId="0" fontId="21" fillId="18" borderId="31" xfId="4" applyFont="1" applyFill="1" applyBorder="1" applyAlignment="1">
      <alignment horizontal="center" wrapText="1"/>
    </xf>
    <xf numFmtId="0" fontId="20" fillId="12" borderId="22" xfId="0" applyFont="1" applyFill="1" applyBorder="1" applyAlignment="1">
      <alignment horizontal="right"/>
    </xf>
    <xf numFmtId="43" fontId="20" fillId="12" borderId="46" xfId="4" applyNumberFormat="1" applyFill="1" applyBorder="1"/>
    <xf numFmtId="14" fontId="20" fillId="0" borderId="46" xfId="7" applyNumberFormat="1" applyBorder="1" applyAlignment="1">
      <alignment horizontal="right"/>
    </xf>
    <xf numFmtId="44" fontId="20" fillId="0" borderId="46" xfId="2" applyFont="1" applyBorder="1"/>
    <xf numFmtId="44" fontId="20" fillId="18" borderId="46" xfId="2" applyFont="1" applyFill="1" applyBorder="1"/>
    <xf numFmtId="0" fontId="20" fillId="12" borderId="24" xfId="0" applyFont="1" applyFill="1" applyBorder="1" applyAlignment="1">
      <alignment horizontal="right"/>
    </xf>
    <xf numFmtId="43" fontId="20" fillId="0" borderId="34" xfId="4" applyNumberFormat="1" applyBorder="1"/>
    <xf numFmtId="14" fontId="20" fillId="12" borderId="34" xfId="7" applyNumberFormat="1" applyFill="1" applyBorder="1" applyAlignment="1">
      <alignment horizontal="right"/>
    </xf>
    <xf numFmtId="44" fontId="20" fillId="0" borderId="34" xfId="2" applyFont="1" applyBorder="1"/>
    <xf numFmtId="44" fontId="20" fillId="18" borderId="34" xfId="2" applyFont="1" applyFill="1" applyBorder="1"/>
    <xf numFmtId="10" fontId="29" fillId="0" borderId="30" xfId="4" applyNumberFormat="1" applyFont="1" applyBorder="1" applyAlignment="1">
      <alignment horizontal="right"/>
    </xf>
    <xf numFmtId="0" fontId="21" fillId="19" borderId="31" xfId="4" applyFont="1" applyFill="1" applyBorder="1" applyAlignment="1">
      <alignment horizontal="center" wrapText="1"/>
    </xf>
    <xf numFmtId="9" fontId="21" fillId="19" borderId="13" xfId="4" applyNumberFormat="1" applyFont="1" applyFill="1" applyBorder="1" applyAlignment="1">
      <alignment horizontal="center" wrapText="1"/>
    </xf>
    <xf numFmtId="44" fontId="20" fillId="19" borderId="46" xfId="2" applyFont="1" applyFill="1" applyBorder="1" applyAlignment="1">
      <alignment horizontal="center"/>
    </xf>
    <xf numFmtId="44" fontId="20" fillId="19" borderId="2" xfId="2" applyFont="1" applyFill="1" applyBorder="1" applyAlignment="1">
      <alignment horizontal="center"/>
    </xf>
    <xf numFmtId="44" fontId="20" fillId="19" borderId="34" xfId="2" applyFont="1" applyFill="1" applyBorder="1" applyAlignment="1">
      <alignment horizontal="center"/>
    </xf>
    <xf numFmtId="44" fontId="20" fillId="19" borderId="4" xfId="2" applyFont="1" applyFill="1" applyBorder="1" applyAlignment="1">
      <alignment horizontal="center"/>
    </xf>
    <xf numFmtId="14" fontId="26" fillId="0" borderId="0" xfId="4" applyNumberFormat="1" applyFont="1" applyAlignment="1">
      <alignment horizontal="center"/>
    </xf>
    <xf numFmtId="42" fontId="21" fillId="8" borderId="48" xfId="6" applyNumberFormat="1" applyFont="1" applyFill="1" applyBorder="1"/>
    <xf numFmtId="42" fontId="20" fillId="17" borderId="31" xfId="4" applyNumberFormat="1" applyFill="1" applyBorder="1"/>
    <xf numFmtId="42" fontId="21" fillId="17" borderId="31" xfId="4" applyNumberFormat="1" applyFont="1" applyFill="1" applyBorder="1"/>
    <xf numFmtId="44" fontId="20" fillId="0" borderId="0" xfId="4" applyNumberFormat="1"/>
    <xf numFmtId="0" fontId="34" fillId="0" borderId="0" xfId="0" applyFont="1" applyAlignment="1">
      <alignment vertical="top" wrapText="1"/>
    </xf>
    <xf numFmtId="0" fontId="35" fillId="0" borderId="0" xfId="0" applyFont="1"/>
    <xf numFmtId="0" fontId="36" fillId="3" borderId="10" xfId="0" applyFont="1" applyFill="1" applyBorder="1"/>
    <xf numFmtId="0" fontId="37" fillId="4" borderId="10" xfId="0" applyFont="1" applyFill="1" applyBorder="1" applyAlignment="1">
      <alignment vertical="top"/>
    </xf>
    <xf numFmtId="0" fontId="37" fillId="5" borderId="10" xfId="0" applyFont="1" applyFill="1" applyBorder="1" applyAlignment="1">
      <alignment vertical="top"/>
    </xf>
    <xf numFmtId="0" fontId="0" fillId="0" borderId="10" xfId="0" applyBorder="1" applyAlignment="1">
      <alignment horizontal="right" vertical="center"/>
    </xf>
    <xf numFmtId="164" fontId="0" fillId="0" borderId="37" xfId="0" applyNumberFormat="1" applyBorder="1"/>
    <xf numFmtId="0" fontId="4" fillId="0" borderId="1" xfId="0" applyFont="1" applyBorder="1" applyAlignment="1">
      <alignment wrapText="1"/>
    </xf>
    <xf numFmtId="44" fontId="4" fillId="0" borderId="2" xfId="2" applyFont="1" applyBorder="1" applyAlignment="1">
      <alignment wrapText="1"/>
    </xf>
    <xf numFmtId="0" fontId="4" fillId="0" borderId="2" xfId="0" applyFont="1" applyBorder="1" applyAlignment="1">
      <alignment wrapText="1"/>
    </xf>
    <xf numFmtId="44" fontId="4" fillId="0" borderId="1" xfId="2" applyFont="1" applyBorder="1" applyAlignment="1">
      <alignment wrapText="1"/>
    </xf>
    <xf numFmtId="164" fontId="0" fillId="0" borderId="7" xfId="0" applyNumberFormat="1" applyBorder="1"/>
    <xf numFmtId="0" fontId="4" fillId="0" borderId="1" xfId="0" applyFont="1" applyBorder="1" applyAlignment="1">
      <alignment horizontal="center" wrapText="1"/>
    </xf>
    <xf numFmtId="0" fontId="28" fillId="3" borderId="10" xfId="0" applyFont="1" applyFill="1" applyBorder="1" applyAlignment="1">
      <alignment vertical="top" wrapText="1"/>
    </xf>
    <xf numFmtId="0" fontId="39" fillId="0" borderId="10" xfId="0" applyFont="1" applyBorder="1" applyAlignment="1">
      <alignment vertical="top" wrapText="1"/>
    </xf>
    <xf numFmtId="0" fontId="38" fillId="0" borderId="10" xfId="0" applyFont="1" applyBorder="1" applyAlignment="1">
      <alignment vertical="top" wrapText="1"/>
    </xf>
    <xf numFmtId="0" fontId="38" fillId="0" borderId="0" xfId="0" applyFont="1" applyAlignment="1">
      <alignment vertical="top" wrapText="1"/>
    </xf>
    <xf numFmtId="0" fontId="40" fillId="2" borderId="0" xfId="0" applyFont="1" applyFill="1" applyAlignment="1">
      <alignment wrapText="1"/>
    </xf>
    <xf numFmtId="0" fontId="38" fillId="0" borderId="0" xfId="0" applyFont="1"/>
    <xf numFmtId="42" fontId="42" fillId="0" borderId="0" xfId="4" applyNumberFormat="1" applyFont="1"/>
    <xf numFmtId="16" fontId="43" fillId="0" borderId="0" xfId="0" applyNumberFormat="1" applyFont="1" applyAlignment="1">
      <alignment horizontal="center"/>
    </xf>
    <xf numFmtId="0" fontId="20" fillId="0" borderId="10" xfId="4" applyBorder="1"/>
    <xf numFmtId="43" fontId="6" fillId="0" borderId="0" xfId="1" applyFont="1"/>
    <xf numFmtId="0" fontId="6" fillId="0" borderId="0" xfId="0" applyFont="1"/>
    <xf numFmtId="0" fontId="45" fillId="3" borderId="10" xfId="0" applyFont="1" applyFill="1" applyBorder="1" applyAlignment="1">
      <alignment wrapText="1"/>
    </xf>
    <xf numFmtId="166" fontId="21" fillId="8" borderId="29" xfId="4" applyNumberFormat="1" applyFont="1" applyFill="1" applyBorder="1"/>
    <xf numFmtId="0" fontId="20" fillId="0" borderId="10" xfId="0" applyFont="1" applyBorder="1" applyAlignment="1">
      <alignment vertical="top" wrapText="1"/>
    </xf>
    <xf numFmtId="0" fontId="4" fillId="12" borderId="10" xfId="0" applyFont="1" applyFill="1" applyBorder="1" applyAlignment="1">
      <alignment wrapText="1"/>
    </xf>
    <xf numFmtId="0" fontId="4" fillId="12" borderId="10" xfId="0" applyFont="1" applyFill="1" applyBorder="1" applyAlignment="1">
      <alignment horizontal="left" vertical="center" wrapText="1"/>
    </xf>
    <xf numFmtId="0" fontId="20" fillId="21" borderId="10" xfId="4" applyFill="1" applyBorder="1"/>
    <xf numFmtId="42" fontId="26" fillId="8" borderId="0" xfId="4" applyNumberFormat="1" applyFont="1" applyFill="1"/>
    <xf numFmtId="39" fontId="20" fillId="8" borderId="0" xfId="4" applyNumberFormat="1" applyFill="1"/>
    <xf numFmtId="0" fontId="0" fillId="0" borderId="10" xfId="0" applyBorder="1" applyAlignment="1">
      <alignment wrapText="1"/>
    </xf>
    <xf numFmtId="0" fontId="46" fillId="0" borderId="10" xfId="0" applyFont="1" applyBorder="1" applyAlignment="1">
      <alignment vertical="top" wrapText="1"/>
    </xf>
    <xf numFmtId="0" fontId="41" fillId="0" borderId="10" xfId="0" applyFont="1" applyBorder="1" applyAlignment="1">
      <alignment vertical="top" wrapText="1"/>
    </xf>
    <xf numFmtId="0" fontId="47" fillId="0" borderId="10" xfId="0" applyFont="1" applyBorder="1" applyAlignment="1">
      <alignment wrapText="1"/>
    </xf>
    <xf numFmtId="0" fontId="41" fillId="6" borderId="10" xfId="0" applyFont="1" applyFill="1" applyBorder="1" applyAlignment="1">
      <alignment vertical="top"/>
    </xf>
    <xf numFmtId="0" fontId="41" fillId="7" borderId="10" xfId="0" applyFont="1" applyFill="1" applyBorder="1" applyAlignment="1">
      <alignment vertical="top"/>
    </xf>
    <xf numFmtId="0" fontId="24" fillId="8" borderId="10" xfId="0" applyFont="1" applyFill="1" applyBorder="1" applyAlignment="1">
      <alignment vertical="top"/>
    </xf>
    <xf numFmtId="0" fontId="41" fillId="9" borderId="10" xfId="0" applyFont="1" applyFill="1" applyBorder="1" applyAlignment="1">
      <alignment vertical="top"/>
    </xf>
    <xf numFmtId="0" fontId="41" fillId="3" borderId="10" xfId="0" applyFont="1" applyFill="1" applyBorder="1" applyAlignment="1">
      <alignment vertical="top"/>
    </xf>
    <xf numFmtId="0" fontId="4" fillId="20" borderId="10" xfId="0" applyFont="1" applyFill="1" applyBorder="1" applyAlignment="1">
      <alignment wrapText="1"/>
    </xf>
    <xf numFmtId="0" fontId="4" fillId="20" borderId="10" xfId="0" applyFont="1" applyFill="1" applyBorder="1" applyAlignment="1">
      <alignment horizontal="center" wrapText="1"/>
    </xf>
    <xf numFmtId="42" fontId="21" fillId="23" borderId="10" xfId="4" applyNumberFormat="1" applyFont="1" applyFill="1" applyBorder="1"/>
    <xf numFmtId="0" fontId="23" fillId="0" borderId="10" xfId="4" applyFont="1" applyBorder="1"/>
    <xf numFmtId="0" fontId="21" fillId="0" borderId="10" xfId="4" applyFont="1" applyBorder="1"/>
    <xf numFmtId="42" fontId="0" fillId="21" borderId="10" xfId="0" applyNumberFormat="1" applyFill="1" applyBorder="1" applyAlignment="1">
      <alignment wrapText="1"/>
    </xf>
    <xf numFmtId="0" fontId="20" fillId="0" borderId="34" xfId="4" applyBorder="1"/>
    <xf numFmtId="42" fontId="48" fillId="0" borderId="0" xfId="4" applyNumberFormat="1" applyFont="1"/>
    <xf numFmtId="0" fontId="0" fillId="8" borderId="10" xfId="0" applyFill="1" applyBorder="1" applyAlignment="1">
      <alignment wrapText="1"/>
    </xf>
    <xf numFmtId="0" fontId="20" fillId="8" borderId="34" xfId="4" applyFill="1" applyBorder="1"/>
    <xf numFmtId="0" fontId="18" fillId="2" borderId="0" xfId="0" applyFont="1" applyFill="1" applyAlignment="1">
      <alignment vertical="center" wrapText="1"/>
    </xf>
    <xf numFmtId="9" fontId="2" fillId="0" borderId="41" xfId="0" applyNumberFormat="1" applyFont="1" applyBorder="1"/>
    <xf numFmtId="0" fontId="18" fillId="0" borderId="3" xfId="0" applyFont="1" applyBorder="1" applyAlignment="1">
      <alignment vertical="center" wrapText="1"/>
    </xf>
    <xf numFmtId="0" fontId="18" fillId="0" borderId="0" xfId="0" applyFont="1" applyAlignment="1">
      <alignment vertical="center" wrapText="1"/>
    </xf>
    <xf numFmtId="164" fontId="0" fillId="11" borderId="23" xfId="1" applyNumberFormat="1" applyFont="1" applyFill="1" applyBorder="1"/>
    <xf numFmtId="0" fontId="0" fillId="11" borderId="0" xfId="0" applyFill="1"/>
    <xf numFmtId="9" fontId="0" fillId="11" borderId="23" xfId="0" applyNumberFormat="1" applyFill="1" applyBorder="1"/>
    <xf numFmtId="1" fontId="0" fillId="11" borderId="39" xfId="0" applyNumberFormat="1" applyFill="1" applyBorder="1"/>
    <xf numFmtId="9" fontId="0" fillId="0" borderId="53" xfId="0" applyNumberFormat="1" applyBorder="1"/>
    <xf numFmtId="9" fontId="0" fillId="0" borderId="20" xfId="0" applyNumberFormat="1" applyBorder="1"/>
    <xf numFmtId="1" fontId="0" fillId="8" borderId="5" xfId="0" applyNumberFormat="1" applyFill="1" applyBorder="1"/>
    <xf numFmtId="9" fontId="0" fillId="0" borderId="40" xfId="0" applyNumberFormat="1" applyBorder="1"/>
    <xf numFmtId="9" fontId="0" fillId="11" borderId="10" xfId="0" applyNumberFormat="1" applyFill="1" applyBorder="1"/>
    <xf numFmtId="9" fontId="0" fillId="0" borderId="41" xfId="0" applyNumberFormat="1" applyBorder="1"/>
    <xf numFmtId="9" fontId="0" fillId="0" borderId="26" xfId="0" applyNumberFormat="1" applyBorder="1"/>
    <xf numFmtId="9" fontId="0" fillId="11" borderId="26" xfId="0" applyNumberFormat="1" applyFill="1" applyBorder="1"/>
    <xf numFmtId="9" fontId="0" fillId="11" borderId="27" xfId="0" applyNumberFormat="1" applyFill="1" applyBorder="1"/>
    <xf numFmtId="0" fontId="53" fillId="12" borderId="23" xfId="0" applyFont="1" applyFill="1" applyBorder="1" applyAlignment="1">
      <alignment horizontal="center" vertical="center" wrapText="1"/>
    </xf>
    <xf numFmtId="1" fontId="0" fillId="8" borderId="27" xfId="0" applyNumberFormat="1" applyFill="1" applyBorder="1"/>
    <xf numFmtId="1" fontId="0" fillId="11" borderId="27" xfId="0" applyNumberFormat="1" applyFill="1" applyBorder="1"/>
    <xf numFmtId="1" fontId="0" fillId="8" borderId="15" xfId="0" applyNumberFormat="1" applyFill="1" applyBorder="1"/>
    <xf numFmtId="9" fontId="0" fillId="0" borderId="33" xfId="0" applyNumberFormat="1" applyBorder="1"/>
    <xf numFmtId="9" fontId="0" fillId="11" borderId="10" xfId="0" applyNumberFormat="1" applyFill="1" applyBorder="1" applyAlignment="1">
      <alignment wrapText="1"/>
    </xf>
    <xf numFmtId="9" fontId="0" fillId="0" borderId="54" xfId="0" applyNumberFormat="1" applyBorder="1"/>
    <xf numFmtId="9" fontId="0" fillId="11" borderId="29" xfId="0" applyNumberFormat="1" applyFill="1" applyBorder="1"/>
    <xf numFmtId="9" fontId="0" fillId="0" borderId="29" xfId="0" applyNumberFormat="1" applyBorder="1"/>
    <xf numFmtId="9" fontId="0" fillId="0" borderId="30" xfId="0" applyNumberFormat="1" applyBorder="1" applyAlignment="1">
      <alignment horizontal="right"/>
    </xf>
    <xf numFmtId="1" fontId="0" fillId="8" borderId="31" xfId="0" applyNumberFormat="1" applyFill="1" applyBorder="1"/>
    <xf numFmtId="164" fontId="0" fillId="8" borderId="26" xfId="1" applyNumberFormat="1" applyFont="1" applyFill="1" applyBorder="1" applyProtection="1"/>
    <xf numFmtId="9" fontId="0" fillId="7" borderId="23" xfId="0" applyNumberFormat="1" applyFill="1" applyBorder="1" applyAlignment="1" applyProtection="1">
      <alignment wrapText="1"/>
      <protection locked="0"/>
    </xf>
    <xf numFmtId="164" fontId="0" fillId="6" borderId="23" xfId="1" applyNumberFormat="1" applyFont="1" applyFill="1" applyBorder="1" applyProtection="1">
      <protection locked="0"/>
    </xf>
    <xf numFmtId="9" fontId="0" fillId="7" borderId="10" xfId="0" applyNumberFormat="1" applyFill="1" applyBorder="1" applyAlignment="1" applyProtection="1">
      <alignment wrapText="1"/>
      <protection locked="0"/>
    </xf>
    <xf numFmtId="164" fontId="0" fillId="6" borderId="10" xfId="1" applyNumberFormat="1" applyFont="1" applyFill="1" applyBorder="1" applyProtection="1">
      <protection locked="0"/>
    </xf>
    <xf numFmtId="9" fontId="0" fillId="7" borderId="40" xfId="0" applyNumberFormat="1" applyFill="1" applyBorder="1" applyProtection="1">
      <protection locked="0"/>
    </xf>
    <xf numFmtId="164" fontId="0" fillId="6" borderId="26" xfId="1" applyNumberFormat="1" applyFont="1" applyFill="1" applyBorder="1" applyProtection="1">
      <protection locked="0"/>
    </xf>
    <xf numFmtId="0" fontId="0" fillId="6" borderId="10" xfId="0" applyFill="1" applyBorder="1" applyProtection="1">
      <protection locked="0"/>
    </xf>
    <xf numFmtId="0" fontId="4" fillId="6" borderId="10" xfId="0" applyFont="1" applyFill="1" applyBorder="1" applyProtection="1">
      <protection locked="0"/>
    </xf>
    <xf numFmtId="42" fontId="20" fillId="8" borderId="26" xfId="4" applyNumberFormat="1" applyFill="1" applyBorder="1"/>
    <xf numFmtId="42" fontId="20" fillId="8" borderId="19" xfId="6" applyNumberFormat="1" applyFont="1" applyFill="1" applyBorder="1"/>
    <xf numFmtId="42" fontId="20" fillId="8" borderId="42" xfId="6" applyNumberFormat="1" applyFont="1" applyFill="1" applyBorder="1"/>
    <xf numFmtId="0" fontId="20" fillId="12" borderId="0" xfId="0" applyFont="1" applyFill="1" applyAlignment="1">
      <alignment horizontal="right"/>
    </xf>
    <xf numFmtId="14" fontId="20" fillId="12" borderId="0" xfId="7" applyNumberFormat="1" applyFill="1" applyAlignment="1">
      <alignment horizontal="right"/>
    </xf>
    <xf numFmtId="44" fontId="20" fillId="0" borderId="0" xfId="2" applyFont="1" applyBorder="1"/>
    <xf numFmtId="44" fontId="20" fillId="18" borderId="0" xfId="2" applyFont="1" applyFill="1" applyBorder="1"/>
    <xf numFmtId="44" fontId="20" fillId="19" borderId="0" xfId="2" applyFont="1" applyFill="1" applyBorder="1" applyAlignment="1">
      <alignment horizontal="center"/>
    </xf>
    <xf numFmtId="0" fontId="0" fillId="0" borderId="27" xfId="0" applyBorder="1"/>
    <xf numFmtId="0" fontId="0" fillId="0" borderId="38" xfId="0" applyBorder="1"/>
    <xf numFmtId="166" fontId="0" fillId="0" borderId="0" xfId="0" applyNumberFormat="1" applyAlignment="1">
      <alignment wrapText="1"/>
    </xf>
    <xf numFmtId="0" fontId="0" fillId="0" borderId="32" xfId="0" applyBorder="1"/>
    <xf numFmtId="166" fontId="0" fillId="8" borderId="0" xfId="0" applyNumberFormat="1" applyFill="1" applyAlignment="1">
      <alignment wrapText="1"/>
    </xf>
    <xf numFmtId="0" fontId="0" fillId="0" borderId="39" xfId="0" applyBorder="1"/>
    <xf numFmtId="0" fontId="0" fillId="0" borderId="18" xfId="0" applyBorder="1"/>
    <xf numFmtId="0" fontId="0" fillId="0" borderId="18" xfId="0" applyBorder="1" applyAlignment="1">
      <alignment wrapText="1"/>
    </xf>
    <xf numFmtId="0" fontId="0" fillId="0" borderId="33" xfId="0" applyBorder="1"/>
    <xf numFmtId="9" fontId="52" fillId="24" borderId="5" xfId="0" applyNumberFormat="1" applyFont="1" applyFill="1" applyBorder="1"/>
    <xf numFmtId="9" fontId="52" fillId="24" borderId="37" xfId="0" applyNumberFormat="1" applyFont="1" applyFill="1" applyBorder="1"/>
    <xf numFmtId="1" fontId="51" fillId="24" borderId="40" xfId="0" applyNumberFormat="1" applyFont="1" applyFill="1" applyBorder="1"/>
    <xf numFmtId="0" fontId="56" fillId="15" borderId="14" xfId="0" applyFont="1" applyFill="1" applyBorder="1" applyAlignment="1">
      <alignment vertical="center" wrapText="1"/>
    </xf>
    <xf numFmtId="0" fontId="56" fillId="15" borderId="9" xfId="0" applyFont="1" applyFill="1" applyBorder="1" applyAlignment="1">
      <alignment vertical="center" wrapText="1"/>
    </xf>
    <xf numFmtId="0" fontId="57" fillId="16" borderId="10" xfId="0" applyFont="1" applyFill="1" applyBorder="1" applyAlignment="1">
      <alignment vertical="center" wrapText="1"/>
    </xf>
    <xf numFmtId="0" fontId="59" fillId="0" borderId="4" xfId="0" applyFont="1" applyBorder="1" applyAlignment="1">
      <alignment vertical="center" wrapText="1"/>
    </xf>
    <xf numFmtId="0" fontId="58" fillId="0" borderId="14" xfId="0" applyFont="1" applyBorder="1" applyAlignment="1">
      <alignment vertical="center" wrapText="1"/>
    </xf>
    <xf numFmtId="0" fontId="59" fillId="0" borderId="9" xfId="0" applyFont="1" applyBorder="1" applyAlignment="1">
      <alignment vertical="center" wrapText="1"/>
    </xf>
    <xf numFmtId="0" fontId="59" fillId="0" borderId="10" xfId="0" applyFont="1" applyBorder="1" applyAlignment="1">
      <alignment vertical="center" wrapText="1"/>
    </xf>
    <xf numFmtId="0" fontId="63" fillId="10" borderId="10" xfId="0" applyFont="1" applyFill="1" applyBorder="1" applyAlignment="1">
      <alignment vertical="center" wrapText="1"/>
    </xf>
    <xf numFmtId="0" fontId="55" fillId="0" borderId="10" xfId="0" applyFont="1" applyBorder="1" applyAlignment="1">
      <alignment vertical="center" wrapText="1"/>
    </xf>
    <xf numFmtId="43" fontId="0" fillId="0" borderId="0" xfId="0" applyNumberFormat="1"/>
    <xf numFmtId="167" fontId="0" fillId="0" borderId="0" xfId="8" applyNumberFormat="1" applyFont="1"/>
    <xf numFmtId="43" fontId="0" fillId="0" borderId="40" xfId="1" applyFont="1" applyBorder="1"/>
    <xf numFmtId="43" fontId="0" fillId="0" borderId="37" xfId="1" applyFont="1" applyBorder="1"/>
    <xf numFmtId="9" fontId="0" fillId="0" borderId="0" xfId="0" applyNumberFormat="1" applyAlignment="1">
      <alignment horizontal="right"/>
    </xf>
    <xf numFmtId="0" fontId="0" fillId="0" borderId="5" xfId="0" applyBorder="1"/>
    <xf numFmtId="10" fontId="0" fillId="0" borderId="0" xfId="0" applyNumberFormat="1"/>
    <xf numFmtId="4" fontId="0" fillId="0" borderId="0" xfId="0" applyNumberFormat="1"/>
    <xf numFmtId="43" fontId="0" fillId="0" borderId="0" xfId="1" applyFont="1" applyAlignment="1">
      <alignment horizontal="right"/>
    </xf>
    <xf numFmtId="43" fontId="0" fillId="0" borderId="0" xfId="1" applyFont="1"/>
    <xf numFmtId="43" fontId="0" fillId="0" borderId="0" xfId="1" applyFont="1" applyBorder="1"/>
    <xf numFmtId="9" fontId="0" fillId="0" borderId="0" xfId="8" applyFont="1"/>
    <xf numFmtId="0" fontId="66" fillId="2" borderId="33" xfId="0" applyFont="1" applyFill="1" applyBorder="1" applyAlignment="1">
      <alignment wrapText="1"/>
    </xf>
    <xf numFmtId="0" fontId="66" fillId="2" borderId="23" xfId="0" applyFont="1" applyFill="1" applyBorder="1" applyAlignment="1">
      <alignment wrapText="1"/>
    </xf>
    <xf numFmtId="44" fontId="66" fillId="2" borderId="39" xfId="2" applyFont="1" applyFill="1" applyBorder="1" applyAlignment="1">
      <alignment wrapText="1"/>
    </xf>
    <xf numFmtId="0" fontId="66" fillId="0" borderId="0" xfId="0" applyFont="1"/>
    <xf numFmtId="0" fontId="3" fillId="0" borderId="0" xfId="0" applyFont="1"/>
    <xf numFmtId="0" fontId="49" fillId="12" borderId="40" xfId="0" applyFont="1" applyFill="1" applyBorder="1" applyAlignment="1">
      <alignment vertical="center" wrapText="1"/>
    </xf>
    <xf numFmtId="164" fontId="0" fillId="8" borderId="10" xfId="1" applyNumberFormat="1" applyFont="1" applyFill="1" applyBorder="1"/>
    <xf numFmtId="0" fontId="49" fillId="8" borderId="10" xfId="0" applyFont="1" applyFill="1" applyBorder="1"/>
    <xf numFmtId="9" fontId="49" fillId="8" borderId="10" xfId="8" applyFont="1" applyFill="1" applyBorder="1"/>
    <xf numFmtId="44" fontId="49" fillId="8" borderId="5" xfId="2" applyFont="1" applyFill="1" applyBorder="1"/>
    <xf numFmtId="0" fontId="49" fillId="0" borderId="0" xfId="0" applyFont="1"/>
    <xf numFmtId="0" fontId="0" fillId="8" borderId="38" xfId="1" applyNumberFormat="1" applyFont="1" applyFill="1" applyBorder="1"/>
    <xf numFmtId="164" fontId="49" fillId="8" borderId="10" xfId="1" applyNumberFormat="1" applyFont="1" applyFill="1" applyBorder="1"/>
    <xf numFmtId="0" fontId="49" fillId="12" borderId="41" xfId="0" applyFont="1" applyFill="1" applyBorder="1" applyAlignment="1">
      <alignment vertical="center" wrapText="1"/>
    </xf>
    <xf numFmtId="164" fontId="49" fillId="8" borderId="26" xfId="1" applyNumberFormat="1" applyFont="1" applyFill="1" applyBorder="1"/>
    <xf numFmtId="0" fontId="49" fillId="8" borderId="26" xfId="0" applyFont="1" applyFill="1" applyBorder="1"/>
    <xf numFmtId="9" fontId="49" fillId="8" borderId="26" xfId="8" applyFont="1" applyFill="1" applyBorder="1"/>
    <xf numFmtId="44" fontId="49" fillId="8" borderId="27" xfId="2" applyFont="1" applyFill="1" applyBorder="1"/>
    <xf numFmtId="0" fontId="49" fillId="2" borderId="10" xfId="0" applyFont="1" applyFill="1" applyBorder="1"/>
    <xf numFmtId="44" fontId="0" fillId="8" borderId="10" xfId="2" applyFont="1" applyFill="1" applyBorder="1"/>
    <xf numFmtId="0" fontId="49" fillId="0" borderId="10" xfId="0" applyFont="1" applyBorder="1"/>
    <xf numFmtId="44" fontId="49" fillId="0" borderId="10" xfId="2" applyFont="1" applyBorder="1"/>
    <xf numFmtId="44" fontId="49" fillId="8" borderId="10" xfId="2" applyFont="1" applyFill="1" applyBorder="1"/>
    <xf numFmtId="0" fontId="49" fillId="0" borderId="0" xfId="0" applyFont="1" applyAlignment="1">
      <alignment wrapText="1"/>
    </xf>
    <xf numFmtId="44" fontId="0" fillId="0" borderId="0" xfId="2" applyFont="1"/>
    <xf numFmtId="0" fontId="5" fillId="0" borderId="0" xfId="3"/>
    <xf numFmtId="0" fontId="20" fillId="7" borderId="10" xfId="4" applyFill="1" applyBorder="1" applyProtection="1">
      <protection locked="0"/>
    </xf>
    <xf numFmtId="166" fontId="20" fillId="22" borderId="10" xfId="2" applyNumberFormat="1" applyFont="1" applyFill="1" applyBorder="1" applyProtection="1">
      <protection locked="0"/>
    </xf>
    <xf numFmtId="9" fontId="20" fillId="22" borderId="5" xfId="4" applyNumberFormat="1" applyFill="1" applyBorder="1" applyProtection="1">
      <protection locked="0"/>
    </xf>
    <xf numFmtId="43" fontId="20" fillId="22" borderId="24" xfId="5" applyFont="1" applyFill="1" applyBorder="1" applyProtection="1">
      <protection locked="0"/>
    </xf>
    <xf numFmtId="0" fontId="20" fillId="7" borderId="26" xfId="4" applyFill="1" applyBorder="1" applyProtection="1">
      <protection locked="0"/>
    </xf>
    <xf numFmtId="0" fontId="20" fillId="7" borderId="27" xfId="4" applyFill="1" applyBorder="1" applyProtection="1">
      <protection locked="0"/>
    </xf>
    <xf numFmtId="166" fontId="20" fillId="22" borderId="26" xfId="2" applyNumberFormat="1" applyFont="1" applyFill="1" applyBorder="1" applyProtection="1">
      <protection locked="0"/>
    </xf>
    <xf numFmtId="9" fontId="20" fillId="22" borderId="27" xfId="4" applyNumberFormat="1" applyFill="1" applyBorder="1" applyProtection="1">
      <protection locked="0"/>
    </xf>
    <xf numFmtId="43" fontId="20" fillId="22" borderId="25" xfId="5" applyFont="1" applyFill="1" applyBorder="1" applyProtection="1">
      <protection locked="0"/>
    </xf>
    <xf numFmtId="42" fontId="20" fillId="22" borderId="10" xfId="6" applyNumberFormat="1" applyFont="1" applyFill="1" applyBorder="1" applyProtection="1">
      <protection locked="0"/>
    </xf>
    <xf numFmtId="0" fontId="0" fillId="22" borderId="10" xfId="0" applyFill="1" applyBorder="1" applyProtection="1">
      <protection locked="0"/>
    </xf>
    <xf numFmtId="42" fontId="20" fillId="22" borderId="10" xfId="4" applyNumberFormat="1" applyFill="1" applyBorder="1" applyProtection="1">
      <protection locked="0"/>
    </xf>
    <xf numFmtId="42" fontId="21" fillId="22" borderId="10" xfId="4" applyNumberFormat="1" applyFont="1" applyFill="1" applyBorder="1" applyProtection="1">
      <protection locked="0"/>
    </xf>
    <xf numFmtId="42" fontId="20" fillId="21" borderId="10" xfId="6" applyNumberFormat="1" applyFont="1" applyFill="1" applyBorder="1" applyProtection="1">
      <protection locked="0"/>
    </xf>
    <xf numFmtId="3" fontId="0" fillId="21" borderId="10" xfId="0" applyNumberFormat="1" applyFill="1" applyBorder="1" applyProtection="1">
      <protection locked="0"/>
    </xf>
    <xf numFmtId="0" fontId="4" fillId="12" borderId="10" xfId="0" applyFont="1" applyFill="1" applyBorder="1" applyAlignment="1">
      <alignment vertical="center" wrapText="1"/>
    </xf>
    <xf numFmtId="0" fontId="67" fillId="12" borderId="10" xfId="3" applyFont="1" applyFill="1" applyBorder="1" applyAlignment="1">
      <alignment horizontal="left" vertical="center" wrapText="1"/>
    </xf>
    <xf numFmtId="0" fontId="50" fillId="24" borderId="5" xfId="0" applyFont="1" applyFill="1" applyBorder="1" applyAlignment="1">
      <alignment horizontal="left"/>
    </xf>
    <xf numFmtId="0" fontId="50" fillId="24" borderId="37" xfId="0" applyFont="1" applyFill="1" applyBorder="1" applyAlignment="1">
      <alignment horizontal="left"/>
    </xf>
    <xf numFmtId="0" fontId="50" fillId="24" borderId="40" xfId="0" applyFont="1" applyFill="1" applyBorder="1" applyAlignment="1">
      <alignment horizontal="left"/>
    </xf>
    <xf numFmtId="0" fontId="49" fillId="12" borderId="26" xfId="0" applyFont="1" applyFill="1" applyBorder="1" applyAlignment="1">
      <alignment horizontal="center" vertical="center" wrapText="1"/>
    </xf>
    <xf numFmtId="0" fontId="49" fillId="12" borderId="34" xfId="0" applyFont="1" applyFill="1" applyBorder="1" applyAlignment="1">
      <alignment horizontal="center" vertical="center" wrapText="1"/>
    </xf>
    <xf numFmtId="0" fontId="49" fillId="12" borderId="2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27" xfId="0" applyFont="1" applyBorder="1" applyAlignment="1">
      <alignment horizontal="center" vertical="center" wrapText="1"/>
    </xf>
    <xf numFmtId="0" fontId="53" fillId="0" borderId="38" xfId="0" applyFont="1" applyBorder="1" applyAlignment="1">
      <alignment horizontal="center" vertical="center" wrapText="1"/>
    </xf>
    <xf numFmtId="0" fontId="53" fillId="0" borderId="39"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10" xfId="0" applyFont="1" applyBorder="1" applyAlignment="1">
      <alignment horizontal="center" vertical="center" wrapText="1"/>
    </xf>
    <xf numFmtId="0" fontId="14" fillId="0" borderId="15" xfId="0" applyFont="1" applyBorder="1" applyAlignment="1">
      <alignment vertical="center" wrapText="1"/>
    </xf>
    <xf numFmtId="0" fontId="14" fillId="0" borderId="16" xfId="0" applyFont="1" applyBorder="1" applyAlignment="1">
      <alignment vertical="center" wrapText="1"/>
    </xf>
    <xf numFmtId="0" fontId="14" fillId="0" borderId="14" xfId="0" applyFont="1" applyBorder="1" applyAlignment="1">
      <alignment vertical="center" wrapText="1"/>
    </xf>
    <xf numFmtId="0" fontId="13" fillId="0" borderId="3" xfId="0" applyFont="1" applyBorder="1" applyAlignment="1">
      <alignment vertical="center" wrapText="1"/>
    </xf>
    <xf numFmtId="0" fontId="13" fillId="0" borderId="8" xfId="0" applyFont="1" applyBorder="1" applyAlignment="1">
      <alignment vertical="center" wrapText="1"/>
    </xf>
    <xf numFmtId="0" fontId="13" fillId="0" borderId="1" xfId="0" applyFont="1" applyBorder="1" applyAlignment="1">
      <alignment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4" xfId="0" applyFont="1" applyBorder="1" applyAlignment="1">
      <alignment horizontal="center" vertical="center" wrapText="1"/>
    </xf>
    <xf numFmtId="0" fontId="12" fillId="10" borderId="11" xfId="0" applyFont="1" applyFill="1" applyBorder="1" applyAlignment="1">
      <alignment vertical="center" wrapText="1"/>
    </xf>
    <xf numFmtId="0" fontId="12" fillId="10" borderId="12" xfId="0" applyFont="1" applyFill="1" applyBorder="1" applyAlignment="1">
      <alignment vertical="center" wrapText="1"/>
    </xf>
    <xf numFmtId="0" fontId="12" fillId="10" borderId="18" xfId="0" applyFont="1" applyFill="1" applyBorder="1" applyAlignment="1">
      <alignment horizontal="center" vertical="center" wrapText="1"/>
    </xf>
    <xf numFmtId="0" fontId="10" fillId="7" borderId="26" xfId="0" applyFont="1" applyFill="1" applyBorder="1" applyAlignment="1" applyProtection="1">
      <alignment horizontal="center" vertical="center" wrapText="1"/>
      <protection locked="0"/>
    </xf>
    <xf numFmtId="0" fontId="10" fillId="7" borderId="34" xfId="0" applyFont="1" applyFill="1" applyBorder="1" applyAlignment="1" applyProtection="1">
      <alignment horizontal="center" vertical="center" wrapText="1"/>
      <protection locked="0"/>
    </xf>
    <xf numFmtId="0" fontId="10" fillId="7" borderId="47" xfId="0" applyFont="1" applyFill="1" applyBorder="1" applyAlignment="1" applyProtection="1">
      <alignment horizontal="center" vertical="center" wrapText="1"/>
      <protection locked="0"/>
    </xf>
    <xf numFmtId="0" fontId="30" fillId="7" borderId="26" xfId="0" applyFont="1" applyFill="1" applyBorder="1" applyAlignment="1" applyProtection="1">
      <alignment horizontal="center" vertical="center" wrapText="1"/>
      <protection locked="0"/>
    </xf>
    <xf numFmtId="0" fontId="30" fillId="7" borderId="34" xfId="0" applyFont="1" applyFill="1" applyBorder="1" applyAlignment="1" applyProtection="1">
      <alignment horizontal="center" vertical="center" wrapText="1"/>
      <protection locked="0"/>
    </xf>
    <xf numFmtId="0" fontId="30" fillId="7" borderId="47" xfId="0" applyFont="1" applyFill="1" applyBorder="1" applyAlignment="1" applyProtection="1">
      <alignment horizontal="center" vertical="center" wrapText="1"/>
      <protection locked="0"/>
    </xf>
    <xf numFmtId="0" fontId="30" fillId="7" borderId="19" xfId="0" applyFont="1" applyFill="1" applyBorder="1" applyAlignment="1" applyProtection="1">
      <alignment horizontal="center" vertical="center" wrapText="1"/>
      <protection locked="0"/>
    </xf>
    <xf numFmtId="0" fontId="30" fillId="7" borderId="21" xfId="0" applyFont="1" applyFill="1" applyBorder="1" applyAlignment="1" applyProtection="1">
      <alignment horizontal="center" vertical="center" wrapText="1"/>
      <protection locked="0"/>
    </xf>
    <xf numFmtId="0" fontId="30" fillId="7" borderId="51" xfId="0" applyFont="1" applyFill="1" applyBorder="1" applyAlignment="1" applyProtection="1">
      <alignment horizontal="center" vertical="center" wrapText="1"/>
      <protection locked="0"/>
    </xf>
    <xf numFmtId="0" fontId="0" fillId="0" borderId="26" xfId="0" applyBorder="1" applyAlignment="1">
      <alignment horizontal="center"/>
    </xf>
    <xf numFmtId="0" fontId="0" fillId="0" borderId="34" xfId="0" applyBorder="1" applyAlignment="1">
      <alignment horizontal="center"/>
    </xf>
    <xf numFmtId="0" fontId="0" fillId="0" borderId="23" xfId="0" applyBorder="1" applyAlignment="1">
      <alignment horizontal="center"/>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14" xfId="0" applyFont="1" applyBorder="1" applyAlignment="1">
      <alignment vertical="center" wrapText="1"/>
    </xf>
    <xf numFmtId="0" fontId="31" fillId="7" borderId="49" xfId="0" applyFont="1" applyFill="1" applyBorder="1" applyAlignment="1" applyProtection="1">
      <alignment horizontal="center" vertical="center" wrapText="1"/>
      <protection locked="0"/>
    </xf>
    <xf numFmtId="0" fontId="31" fillId="7" borderId="36" xfId="0" applyFont="1" applyFill="1" applyBorder="1" applyAlignment="1" applyProtection="1">
      <alignment horizontal="center" vertical="center" wrapText="1"/>
      <protection locked="0"/>
    </xf>
    <xf numFmtId="0" fontId="31" fillId="7" borderId="52" xfId="0" applyFont="1" applyFill="1" applyBorder="1" applyAlignment="1" applyProtection="1">
      <alignment horizontal="center" vertical="center" wrapText="1"/>
      <protection locked="0"/>
    </xf>
    <xf numFmtId="0" fontId="31" fillId="7" borderId="46" xfId="0" applyFont="1" applyFill="1" applyBorder="1" applyAlignment="1" applyProtection="1">
      <alignment horizontal="left" vertical="center" wrapText="1"/>
      <protection locked="0"/>
    </xf>
    <xf numFmtId="0" fontId="31" fillId="7" borderId="34" xfId="0" applyFont="1" applyFill="1" applyBorder="1" applyAlignment="1" applyProtection="1">
      <alignment horizontal="left" vertical="center" wrapText="1"/>
      <protection locked="0"/>
    </xf>
    <xf numFmtId="0" fontId="31" fillId="7" borderId="47" xfId="0" applyFont="1" applyFill="1" applyBorder="1" applyAlignment="1" applyProtection="1">
      <alignment horizontal="left" vertical="center" wrapText="1"/>
      <protection locked="0"/>
    </xf>
    <xf numFmtId="0" fontId="44" fillId="7" borderId="46" xfId="0" applyFont="1" applyFill="1" applyBorder="1" applyAlignment="1" applyProtection="1">
      <alignment horizontal="center" vertical="center" wrapText="1"/>
      <protection locked="0"/>
    </xf>
    <xf numFmtId="0" fontId="44" fillId="7" borderId="34" xfId="0" applyFont="1" applyFill="1" applyBorder="1" applyAlignment="1" applyProtection="1">
      <alignment horizontal="center" vertical="center" wrapText="1"/>
      <protection locked="0"/>
    </xf>
    <xf numFmtId="0" fontId="44" fillId="7" borderId="47" xfId="0" applyFont="1" applyFill="1" applyBorder="1" applyAlignment="1" applyProtection="1">
      <alignment horizontal="center" vertical="center" wrapText="1"/>
      <protection locked="0"/>
    </xf>
    <xf numFmtId="0" fontId="31" fillId="7" borderId="50" xfId="0" applyFont="1" applyFill="1" applyBorder="1" applyAlignment="1" applyProtection="1">
      <alignment horizontal="center" vertical="center" wrapText="1"/>
      <protection locked="0"/>
    </xf>
    <xf numFmtId="0" fontId="31" fillId="7" borderId="21" xfId="0" applyFont="1" applyFill="1" applyBorder="1" applyAlignment="1" applyProtection="1">
      <alignment horizontal="center" vertical="center" wrapText="1"/>
      <protection locked="0"/>
    </xf>
    <xf numFmtId="0" fontId="31" fillId="7" borderId="51" xfId="0" applyFont="1" applyFill="1" applyBorder="1" applyAlignment="1" applyProtection="1">
      <alignment horizontal="center" vertical="center" wrapText="1"/>
      <protection locked="0"/>
    </xf>
    <xf numFmtId="0" fontId="0" fillId="0" borderId="26" xfId="0" applyBorder="1" applyAlignment="1">
      <alignment horizontal="left"/>
    </xf>
    <xf numFmtId="0" fontId="0" fillId="0" borderId="34" xfId="0" applyBorder="1" applyAlignment="1">
      <alignment horizontal="left"/>
    </xf>
    <xf numFmtId="0" fontId="0" fillId="0" borderId="23" xfId="0" applyBorder="1" applyAlignment="1">
      <alignment horizontal="left"/>
    </xf>
    <xf numFmtId="0" fontId="31" fillId="7" borderId="46" xfId="0" applyFont="1" applyFill="1" applyBorder="1" applyAlignment="1" applyProtection="1">
      <alignment horizontal="center" vertical="center" wrapText="1"/>
      <protection locked="0"/>
    </xf>
    <xf numFmtId="0" fontId="31" fillId="7" borderId="34" xfId="0" applyFont="1" applyFill="1" applyBorder="1" applyAlignment="1" applyProtection="1">
      <alignment horizontal="center" vertical="center" wrapText="1"/>
      <protection locked="0"/>
    </xf>
    <xf numFmtId="0" fontId="31" fillId="7" borderId="47" xfId="0" applyFont="1" applyFill="1" applyBorder="1" applyAlignment="1" applyProtection="1">
      <alignment horizontal="center" vertical="center" wrapText="1"/>
      <protection locked="0"/>
    </xf>
    <xf numFmtId="0" fontId="15" fillId="10" borderId="11" xfId="0" applyFont="1" applyFill="1" applyBorder="1" applyAlignment="1">
      <alignment vertical="center" wrapText="1"/>
    </xf>
    <xf numFmtId="0" fontId="15" fillId="10" borderId="12" xfId="0" applyFont="1" applyFill="1" applyBorder="1" applyAlignment="1">
      <alignment vertical="center" wrapText="1"/>
    </xf>
    <xf numFmtId="0" fontId="15" fillId="10" borderId="37" xfId="0" applyFont="1" applyFill="1" applyBorder="1" applyAlignment="1">
      <alignment horizontal="center" vertical="center" wrapText="1"/>
    </xf>
    <xf numFmtId="0" fontId="25" fillId="7" borderId="25" xfId="0" applyFont="1" applyFill="1" applyBorder="1" applyAlignment="1" applyProtection="1">
      <alignment horizontal="center" vertical="center" wrapText="1"/>
      <protection locked="0"/>
    </xf>
    <xf numFmtId="0" fontId="25" fillId="7" borderId="36" xfId="0" applyFont="1" applyFill="1" applyBorder="1" applyAlignment="1" applyProtection="1">
      <alignment horizontal="center" vertical="center" wrapText="1"/>
      <protection locked="0"/>
    </xf>
    <xf numFmtId="0" fontId="31" fillId="7" borderId="26" xfId="0" applyFont="1" applyFill="1" applyBorder="1" applyAlignment="1" applyProtection="1">
      <alignment horizontal="center" vertical="center" wrapText="1"/>
      <protection locked="0"/>
    </xf>
    <xf numFmtId="0" fontId="31" fillId="7" borderId="19" xfId="0" applyFont="1" applyFill="1" applyBorder="1" applyAlignment="1" applyProtection="1">
      <alignment horizontal="center" vertical="center" wrapText="1"/>
      <protection locked="0"/>
    </xf>
    <xf numFmtId="0" fontId="12" fillId="10" borderId="37" xfId="0" applyFont="1" applyFill="1" applyBorder="1" applyAlignment="1">
      <alignment horizontal="center" vertical="center" wrapText="1"/>
    </xf>
    <xf numFmtId="0" fontId="44" fillId="7" borderId="25" xfId="0" applyFont="1" applyFill="1" applyBorder="1" applyAlignment="1" applyProtection="1">
      <alignment horizontal="center" vertical="center" wrapText="1"/>
      <protection locked="0"/>
    </xf>
    <xf numFmtId="0" fontId="44" fillId="7" borderId="36" xfId="0" applyFont="1" applyFill="1" applyBorder="1" applyAlignment="1" applyProtection="1">
      <alignment horizontal="center" vertical="center" wrapText="1"/>
      <protection locked="0"/>
    </xf>
    <xf numFmtId="0" fontId="31" fillId="7" borderId="44" xfId="0" applyFont="1" applyFill="1" applyBorder="1" applyAlignment="1" applyProtection="1">
      <alignment horizontal="center" vertical="center" wrapText="1"/>
      <protection locked="0"/>
    </xf>
    <xf numFmtId="0" fontId="31" fillId="7" borderId="25"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34" fillId="0" borderId="36" xfId="0" applyFont="1" applyBorder="1" applyAlignment="1">
      <alignment vertical="center" wrapText="1"/>
    </xf>
    <xf numFmtId="0" fontId="34" fillId="0" borderId="55" xfId="0" applyFont="1" applyBorder="1" applyAlignment="1">
      <alignment vertical="center" wrapText="1"/>
    </xf>
    <xf numFmtId="0" fontId="65" fillId="0" borderId="25" xfId="0" applyFont="1" applyBorder="1" applyAlignment="1">
      <alignment vertical="center" wrapText="1"/>
    </xf>
    <xf numFmtId="0" fontId="34" fillId="0" borderId="55" xfId="0" applyFont="1" applyBorder="1"/>
    <xf numFmtId="0" fontId="0" fillId="0" borderId="55" xfId="0" applyBorder="1" applyAlignment="1">
      <alignment vertical="center" wrapText="1"/>
    </xf>
    <xf numFmtId="0" fontId="55" fillId="10" borderId="11" xfId="0" applyFont="1" applyFill="1" applyBorder="1" applyAlignment="1">
      <alignment vertical="center" wrapText="1"/>
    </xf>
    <xf numFmtId="0" fontId="55" fillId="10" borderId="12" xfId="0" applyFont="1" applyFill="1" applyBorder="1" applyAlignment="1">
      <alignment vertical="center" wrapText="1"/>
    </xf>
    <xf numFmtId="0" fontId="55" fillId="10" borderId="13" xfId="0" applyFont="1" applyFill="1" applyBorder="1" applyAlignment="1">
      <alignment vertical="center" wrapText="1"/>
    </xf>
    <xf numFmtId="0" fontId="58" fillId="0" borderId="15" xfId="0" applyFont="1" applyBorder="1" applyAlignment="1">
      <alignment vertical="center" wrapText="1"/>
    </xf>
    <xf numFmtId="0" fontId="58" fillId="0" borderId="16" xfId="0" applyFont="1" applyBorder="1" applyAlignment="1">
      <alignment vertical="center" wrapText="1"/>
    </xf>
    <xf numFmtId="0" fontId="58" fillId="0" borderId="14" xfId="0" applyFont="1" applyBorder="1" applyAlignment="1">
      <alignment vertical="center" wrapText="1"/>
    </xf>
    <xf numFmtId="0" fontId="59" fillId="0" borderId="15" xfId="0" applyFont="1" applyBorder="1" applyAlignment="1">
      <alignment vertical="center" wrapText="1"/>
    </xf>
    <xf numFmtId="0" fontId="59" fillId="0" borderId="16" xfId="0" applyFont="1" applyBorder="1" applyAlignment="1">
      <alignment vertical="center" wrapText="1"/>
    </xf>
    <xf numFmtId="0" fontId="59" fillId="0" borderId="14" xfId="0" applyFont="1" applyBorder="1" applyAlignment="1">
      <alignment vertical="center" wrapText="1"/>
    </xf>
    <xf numFmtId="0" fontId="58" fillId="10" borderId="11" xfId="0" applyFont="1" applyFill="1" applyBorder="1" applyAlignment="1">
      <alignment vertical="center" wrapText="1"/>
    </xf>
    <xf numFmtId="0" fontId="58" fillId="10" borderId="12" xfId="0" applyFont="1" applyFill="1" applyBorder="1" applyAlignment="1">
      <alignment vertical="center" wrapText="1"/>
    </xf>
    <xf numFmtId="0" fontId="58" fillId="10" borderId="13" xfId="0" applyFont="1" applyFill="1" applyBorder="1" applyAlignment="1">
      <alignment vertical="center" wrapText="1"/>
    </xf>
    <xf numFmtId="0" fontId="63" fillId="10" borderId="11" xfId="0" applyFont="1" applyFill="1" applyBorder="1" applyAlignment="1">
      <alignment vertical="center" wrapText="1"/>
    </xf>
    <xf numFmtId="0" fontId="63" fillId="10" borderId="12" xfId="0" applyFont="1" applyFill="1" applyBorder="1" applyAlignment="1">
      <alignment vertical="center" wrapText="1"/>
    </xf>
    <xf numFmtId="0" fontId="63" fillId="10" borderId="13" xfId="0" applyFont="1" applyFill="1" applyBorder="1" applyAlignment="1">
      <alignment vertical="center" wrapText="1"/>
    </xf>
    <xf numFmtId="44" fontId="3" fillId="2" borderId="1" xfId="2" applyFont="1" applyFill="1" applyBorder="1" applyAlignment="1">
      <alignment horizontal="center"/>
    </xf>
    <xf numFmtId="44" fontId="3" fillId="2" borderId="2" xfId="2" applyFont="1" applyFill="1" applyBorder="1" applyAlignment="1">
      <alignment horizontal="center"/>
    </xf>
    <xf numFmtId="9" fontId="3" fillId="2" borderId="1" xfId="0" applyNumberFormat="1" applyFont="1" applyFill="1" applyBorder="1" applyAlignment="1">
      <alignment horizontal="center"/>
    </xf>
    <xf numFmtId="9" fontId="3" fillId="2" borderId="2" xfId="0" applyNumberFormat="1" applyFont="1" applyFill="1" applyBorder="1" applyAlignment="1">
      <alignment horizontal="center"/>
    </xf>
    <xf numFmtId="0" fontId="21" fillId="0" borderId="42" xfId="4" applyFont="1" applyBorder="1" applyAlignment="1">
      <alignment horizontal="center"/>
    </xf>
    <xf numFmtId="3" fontId="20" fillId="7" borderId="0" xfId="4" applyNumberFormat="1" applyFill="1" applyAlignment="1" applyProtection="1">
      <alignment horizontal="center"/>
      <protection locked="0"/>
    </xf>
    <xf numFmtId="0" fontId="22" fillId="0" borderId="18" xfId="4" applyFont="1" applyBorder="1" applyAlignment="1">
      <alignment horizontal="center"/>
    </xf>
    <xf numFmtId="42" fontId="21" fillId="0" borderId="1" xfId="4" applyNumberFormat="1" applyFont="1" applyBorder="1" applyAlignment="1">
      <alignment horizontal="center"/>
    </xf>
    <xf numFmtId="42" fontId="21" fillId="0" borderId="43" xfId="4" applyNumberFormat="1" applyFont="1" applyBorder="1" applyAlignment="1">
      <alignment horizontal="center"/>
    </xf>
    <xf numFmtId="42" fontId="21" fillId="0" borderId="2" xfId="4" applyNumberFormat="1" applyFont="1" applyBorder="1" applyAlignment="1">
      <alignment horizontal="center"/>
    </xf>
    <xf numFmtId="10" fontId="21" fillId="0" borderId="1" xfId="4" applyNumberFormat="1" applyFont="1" applyBorder="1" applyAlignment="1">
      <alignment horizontal="center"/>
    </xf>
    <xf numFmtId="10" fontId="21" fillId="0" borderId="43" xfId="4" applyNumberFormat="1" applyFont="1" applyBorder="1" applyAlignment="1">
      <alignment horizontal="center"/>
    </xf>
    <xf numFmtId="10" fontId="21" fillId="0" borderId="2" xfId="4" applyNumberFormat="1" applyFont="1" applyBorder="1" applyAlignment="1">
      <alignment horizontal="center"/>
    </xf>
    <xf numFmtId="0" fontId="20" fillId="8" borderId="5" xfId="4" applyFill="1" applyBorder="1" applyProtection="1">
      <protection locked="0"/>
    </xf>
    <xf numFmtId="0" fontId="20" fillId="8" borderId="10" xfId="4" applyFill="1" applyBorder="1" applyProtection="1">
      <protection locked="0"/>
    </xf>
    <xf numFmtId="0" fontId="20" fillId="8" borderId="38" xfId="4" applyFill="1" applyBorder="1" applyProtection="1">
      <protection locked="0"/>
    </xf>
    <xf numFmtId="166" fontId="20" fillId="8" borderId="10" xfId="2" applyNumberFormat="1" applyFont="1" applyFill="1" applyBorder="1" applyProtection="1">
      <protection locked="0"/>
    </xf>
    <xf numFmtId="43" fontId="0" fillId="8" borderId="10" xfId="0" applyNumberFormat="1" applyFill="1" applyBorder="1" applyAlignment="1" applyProtection="1">
      <alignment wrapText="1"/>
      <protection locked="0"/>
    </xf>
    <xf numFmtId="166" fontId="0" fillId="8" borderId="10" xfId="0" applyNumberFormat="1" applyFill="1" applyBorder="1" applyAlignment="1">
      <alignment wrapText="1"/>
    </xf>
    <xf numFmtId="166" fontId="20" fillId="8" borderId="10" xfId="2" applyNumberFormat="1" applyFont="1" applyFill="1" applyBorder="1"/>
  </cellXfs>
  <cellStyles count="9">
    <cellStyle name="Comma" xfId="1" builtinId="3"/>
    <cellStyle name="Comma 2" xfId="5" xr:uid="{7DDB72A8-1C63-47B3-957C-307DB18A7735}"/>
    <cellStyle name="Currency" xfId="2" builtinId="4"/>
    <cellStyle name="Currency 2" xfId="6" xr:uid="{3C5C73AE-78F2-4F22-985A-314CD84E405E}"/>
    <cellStyle name="Hyperlink" xfId="3" builtinId="8"/>
    <cellStyle name="Normal" xfId="0" builtinId="0"/>
    <cellStyle name="Normal 2" xfId="4" xr:uid="{DA3E534C-5919-4714-810A-4FFC24BC21F8}"/>
    <cellStyle name="Normal 3" xfId="7" xr:uid="{A4C1D946-094C-4954-A1F3-E5EE7E4A60D0}"/>
    <cellStyle name="Percent" xfId="8" builtinId="5"/>
  </cellStyles>
  <dxfs count="9">
    <dxf>
      <font>
        <b val="0"/>
        <i val="0"/>
        <strike val="0"/>
        <condense val="0"/>
        <extend val="0"/>
        <outline val="0"/>
        <shadow val="0"/>
        <u val="none"/>
        <vertAlign val="baseline"/>
        <sz val="10"/>
        <color theme="1"/>
        <name val="Calibri"/>
        <family val="2"/>
        <scheme val="minor"/>
      </font>
      <fill>
        <patternFill patternType="solid">
          <fgColor indexed="64"/>
          <bgColor theme="4" tint="0.5999938962981048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4" tint="0.5999938962981048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theme="4" tint="0.59999389629810485"/>
        </patternFill>
      </fill>
      <border diagonalUp="0" diagonalDown="0" outline="0">
        <left style="thin">
          <color indexed="64"/>
        </left>
        <right style="thin">
          <color indexed="64"/>
        </right>
        <top style="thin">
          <color indexed="64"/>
        </top>
        <bottom style="thin">
          <color indexed="64"/>
        </bottom>
      </border>
    </dxf>
    <dxf>
      <numFmt numFmtId="0" formatCode="General"/>
      <fill>
        <patternFill patternType="solid">
          <fgColor indexed="64"/>
          <bgColor theme="4" tint="0.59999389629810485"/>
        </patternFill>
      </fill>
      <border outline="0">
        <left style="thin">
          <color indexed="64"/>
        </left>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ill>
        <patternFill patternType="solid">
          <fgColor indexed="64"/>
          <bgColor theme="4" tint="0.59999389629810485"/>
        </patternFill>
      </fill>
    </dxf>
    <dxf>
      <border outline="0">
        <bottom style="thin">
          <color indexed="64"/>
        </bottom>
      </border>
    </dxf>
    <dxf>
      <font>
        <b val="0"/>
        <i val="0"/>
        <strike val="0"/>
        <condense val="0"/>
        <extend val="0"/>
        <outline val="0"/>
        <shadow val="0"/>
        <u val="none"/>
        <vertAlign val="baseline"/>
        <sz val="10"/>
        <color theme="0"/>
        <name val="Calibri"/>
        <family val="2"/>
        <scheme val="minor"/>
      </font>
      <fill>
        <patternFill patternType="solid">
          <fgColor indexed="64"/>
          <bgColor theme="1" tint="0.499984740745262"/>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00FF"/>
      <color rgb="FFFFFF99"/>
      <color rgb="FFFFFFCC"/>
      <color rgb="FFCC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342900</xdr:colOff>
          <xdr:row>3</xdr:row>
          <xdr:rowOff>0</xdr:rowOff>
        </xdr:from>
        <xdr:to>
          <xdr:col>1</xdr:col>
          <xdr:colOff>609600</xdr:colOff>
          <xdr:row>4</xdr:row>
          <xdr:rowOff>15240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5</xdr:row>
          <xdr:rowOff>0</xdr:rowOff>
        </xdr:from>
        <xdr:to>
          <xdr:col>1</xdr:col>
          <xdr:colOff>609600</xdr:colOff>
          <xdr:row>6</xdr:row>
          <xdr:rowOff>22860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xdr:colOff>
          <xdr:row>6</xdr:row>
          <xdr:rowOff>0</xdr:rowOff>
        </xdr:from>
        <xdr:to>
          <xdr:col>1</xdr:col>
          <xdr:colOff>579120</xdr:colOff>
          <xdr:row>7</xdr:row>
          <xdr:rowOff>15240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6</xdr:row>
          <xdr:rowOff>0</xdr:rowOff>
        </xdr:from>
        <xdr:to>
          <xdr:col>1</xdr:col>
          <xdr:colOff>609600</xdr:colOff>
          <xdr:row>7</xdr:row>
          <xdr:rowOff>22860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7</xdr:row>
          <xdr:rowOff>0</xdr:rowOff>
        </xdr:from>
        <xdr:to>
          <xdr:col>1</xdr:col>
          <xdr:colOff>609600</xdr:colOff>
          <xdr:row>8</xdr:row>
          <xdr:rowOff>22860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8</xdr:row>
          <xdr:rowOff>0</xdr:rowOff>
        </xdr:from>
        <xdr:to>
          <xdr:col>1</xdr:col>
          <xdr:colOff>609600</xdr:colOff>
          <xdr:row>9</xdr:row>
          <xdr:rowOff>22860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4</xdr:row>
          <xdr:rowOff>0</xdr:rowOff>
        </xdr:from>
        <xdr:to>
          <xdr:col>1</xdr:col>
          <xdr:colOff>609600</xdr:colOff>
          <xdr:row>5</xdr:row>
          <xdr:rowOff>22860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9</xdr:row>
          <xdr:rowOff>76200</xdr:rowOff>
        </xdr:from>
        <xdr:to>
          <xdr:col>1</xdr:col>
          <xdr:colOff>609600</xdr:colOff>
          <xdr:row>9</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9</xdr:row>
          <xdr:rowOff>358140</xdr:rowOff>
        </xdr:from>
        <xdr:to>
          <xdr:col>1</xdr:col>
          <xdr:colOff>609600</xdr:colOff>
          <xdr:row>11</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11</xdr:row>
          <xdr:rowOff>175260</xdr:rowOff>
        </xdr:from>
        <xdr:to>
          <xdr:col>1</xdr:col>
          <xdr:colOff>609600</xdr:colOff>
          <xdr:row>13</xdr:row>
          <xdr:rowOff>15240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10</xdr:row>
          <xdr:rowOff>175260</xdr:rowOff>
        </xdr:from>
        <xdr:to>
          <xdr:col>1</xdr:col>
          <xdr:colOff>533400</xdr:colOff>
          <xdr:row>12</xdr:row>
          <xdr:rowOff>15240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16</xdr:row>
          <xdr:rowOff>91440</xdr:rowOff>
        </xdr:from>
        <xdr:to>
          <xdr:col>1</xdr:col>
          <xdr:colOff>609600</xdr:colOff>
          <xdr:row>16</xdr:row>
          <xdr:rowOff>281940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17</xdr:row>
          <xdr:rowOff>76200</xdr:rowOff>
        </xdr:from>
        <xdr:to>
          <xdr:col>1</xdr:col>
          <xdr:colOff>1219200</xdr:colOff>
          <xdr:row>17</xdr:row>
          <xdr:rowOff>289560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17</xdr:row>
          <xdr:rowOff>342900</xdr:rowOff>
        </xdr:from>
        <xdr:to>
          <xdr:col>1</xdr:col>
          <xdr:colOff>1219200</xdr:colOff>
          <xdr:row>19</xdr:row>
          <xdr:rowOff>160020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23</xdr:row>
          <xdr:rowOff>38100</xdr:rowOff>
        </xdr:from>
        <xdr:to>
          <xdr:col>1</xdr:col>
          <xdr:colOff>1219200</xdr:colOff>
          <xdr:row>24</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12</xdr:row>
          <xdr:rowOff>167640</xdr:rowOff>
        </xdr:from>
        <xdr:to>
          <xdr:col>1</xdr:col>
          <xdr:colOff>601980</xdr:colOff>
          <xdr:row>14</xdr:row>
          <xdr:rowOff>15240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13</xdr:row>
          <xdr:rowOff>167640</xdr:rowOff>
        </xdr:from>
        <xdr:to>
          <xdr:col>1</xdr:col>
          <xdr:colOff>601980</xdr:colOff>
          <xdr:row>15</xdr:row>
          <xdr:rowOff>15240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20</xdr:row>
          <xdr:rowOff>45720</xdr:rowOff>
        </xdr:from>
        <xdr:to>
          <xdr:col>1</xdr:col>
          <xdr:colOff>1219200</xdr:colOff>
          <xdr:row>20</xdr:row>
          <xdr:rowOff>259080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21</xdr:row>
          <xdr:rowOff>45720</xdr:rowOff>
        </xdr:from>
        <xdr:to>
          <xdr:col>1</xdr:col>
          <xdr:colOff>1219200</xdr:colOff>
          <xdr:row>21</xdr:row>
          <xdr:rowOff>259080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356755</xdr:colOff>
          <xdr:row>18</xdr:row>
          <xdr:rowOff>238991</xdr:rowOff>
        </xdr:from>
        <xdr:to>
          <xdr:col>2</xdr:col>
          <xdr:colOff>0</xdr:colOff>
          <xdr:row>20</xdr:row>
          <xdr:rowOff>27017</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B27D02DD-7410-696C-9D5A-22D69F166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1451723</xdr:colOff>
      <xdr:row>72</xdr:row>
      <xdr:rowOff>28013</xdr:rowOff>
    </xdr:from>
    <xdr:to>
      <xdr:col>6</xdr:col>
      <xdr:colOff>117662</xdr:colOff>
      <xdr:row>76</xdr:row>
      <xdr:rowOff>71718</xdr:rowOff>
    </xdr:to>
    <xdr:sp macro="" textlink="">
      <xdr:nvSpPr>
        <xdr:cNvPr id="2" name="TextBox 1">
          <a:extLst>
            <a:ext uri="{FF2B5EF4-FFF2-40B4-BE49-F238E27FC236}">
              <a16:creationId xmlns:a16="http://schemas.microsoft.com/office/drawing/2014/main" id="{DCC20CFB-2AB5-47D8-AE6E-D245233D2984}"/>
            </a:ext>
          </a:extLst>
        </xdr:cNvPr>
        <xdr:cNvSpPr txBox="1"/>
      </xdr:nvSpPr>
      <xdr:spPr>
        <a:xfrm>
          <a:off x="2904005" y="13215095"/>
          <a:ext cx="4008904" cy="72502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Indirect costs apply to the Federal contract only and are calculated based on MTDC- Modified Total Direct Costs. MTDC excludes budget for Equipment and AHEC Scholar Stipends.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E5ECBD-7D0C-47F9-AFCB-379CB25A2262}" name="Table1" displayName="Table1" ref="A1:E5" totalsRowShown="0" headerRowDxfId="8" dataDxfId="6" headerRowBorderDxfId="7" tableBorderDxfId="5">
  <autoFilter ref="A1:E5" xr:uid="{0AA32060-F4EC-4BC7-AD46-BA37E6822D7C}"/>
  <tableColumns count="5">
    <tableColumn id="1" xr3:uid="{4E3A661C-96B1-4F88-B84F-629EFB2980E6}" name="Goal Description" dataDxfId="4"/>
    <tableColumn id="2" xr3:uid="{D3333690-8018-449C-8510-B8ED0A74AEB3}" name="Applicant Projection" dataDxfId="3"/>
    <tableColumn id="3" xr3:uid="{A6B56FF4-206F-4EA7-AA3E-460E9513D0C5}" name="100% Metric" dataDxfId="2"/>
    <tableColumn id="4" xr3:uid="{9D4A5A0B-37B9-4CC1-A27B-7BA62DF6DE96}" name="Center-Chosen Goal as % of Metric" dataDxfId="1" dataCellStyle="Percent">
      <calculatedColumnFormula>B2/C2</calculatedColumnFormula>
    </tableColumn>
    <tableColumn id="5" xr3:uid="{E03832EC-3B12-4301-8557-C2C1BACFCAA1}" name="Allocated Budget (Weighted)" dataDxfId="0" dataCellStyle="Currency"/>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2.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3.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E89A9-0731-4481-8840-63403DABBE5B}">
  <sheetPr codeName="Sheet1">
    <tabColor rgb="FF00B050"/>
    <pageSetUpPr fitToPage="1"/>
  </sheetPr>
  <dimension ref="A2:C17"/>
  <sheetViews>
    <sheetView showWhiteSpace="0" zoomScale="80" zoomScaleNormal="80" workbookViewId="0">
      <selection activeCell="B3" sqref="B3"/>
    </sheetView>
  </sheetViews>
  <sheetFormatPr defaultColWidth="8.77734375" defaultRowHeight="23.4" x14ac:dyDescent="0.45"/>
  <cols>
    <col min="1" max="1" width="17.21875" style="6" customWidth="1"/>
    <col min="2" max="2" width="103.44140625" style="204" customWidth="1"/>
    <col min="3" max="3" width="43.5546875" style="205" customWidth="1"/>
  </cols>
  <sheetData>
    <row r="2" spans="1:3" ht="24.75" customHeight="1" x14ac:dyDescent="0.4">
      <c r="A2" s="7" t="s">
        <v>12</v>
      </c>
      <c r="B2" s="217" t="s">
        <v>279</v>
      </c>
      <c r="C2" s="206" t="s">
        <v>13</v>
      </c>
    </row>
    <row r="3" spans="1:3" ht="101.4" customHeight="1" x14ac:dyDescent="0.3">
      <c r="A3" s="8" t="s">
        <v>233</v>
      </c>
      <c r="B3" s="230" t="s">
        <v>345</v>
      </c>
      <c r="C3" s="207" t="s">
        <v>229</v>
      </c>
    </row>
    <row r="4" spans="1:3" ht="123" customHeight="1" x14ac:dyDescent="0.3">
      <c r="A4" s="9" t="s">
        <v>16</v>
      </c>
      <c r="B4" s="218" t="s">
        <v>230</v>
      </c>
      <c r="C4" s="207" t="s">
        <v>229</v>
      </c>
    </row>
    <row r="5" spans="1:3" ht="63.6" customHeight="1" x14ac:dyDescent="0.3">
      <c r="A5" s="9" t="s">
        <v>17</v>
      </c>
      <c r="B5" s="218" t="s">
        <v>332</v>
      </c>
      <c r="C5" s="207" t="s">
        <v>229</v>
      </c>
    </row>
    <row r="6" spans="1:3" ht="126" customHeight="1" x14ac:dyDescent="0.3">
      <c r="A6" s="9" t="s">
        <v>18</v>
      </c>
      <c r="B6" s="218" t="s">
        <v>331</v>
      </c>
      <c r="C6" s="207" t="s">
        <v>229</v>
      </c>
    </row>
    <row r="7" spans="1:3" ht="22.8" x14ac:dyDescent="0.3">
      <c r="A7" s="9" t="s">
        <v>14</v>
      </c>
      <c r="B7" s="218" t="s">
        <v>234</v>
      </c>
      <c r="C7" s="208" t="s">
        <v>15</v>
      </c>
    </row>
    <row r="8" spans="1:3" ht="52.8" x14ac:dyDescent="0.3">
      <c r="A8" s="9" t="s">
        <v>19</v>
      </c>
      <c r="B8" s="218" t="s">
        <v>236</v>
      </c>
      <c r="C8" s="208" t="s">
        <v>15</v>
      </c>
    </row>
    <row r="9" spans="1:3" ht="80.25" customHeight="1" x14ac:dyDescent="0.3">
      <c r="A9" s="9" t="s">
        <v>20</v>
      </c>
      <c r="B9" s="219" t="s">
        <v>295</v>
      </c>
      <c r="C9" s="207" t="s">
        <v>229</v>
      </c>
    </row>
    <row r="10" spans="1:3" ht="67.2" customHeight="1" x14ac:dyDescent="0.3">
      <c r="A10" s="9" t="s">
        <v>21</v>
      </c>
      <c r="B10" s="219" t="s">
        <v>235</v>
      </c>
      <c r="C10" s="207" t="s">
        <v>229</v>
      </c>
    </row>
    <row r="11" spans="1:3" x14ac:dyDescent="0.45">
      <c r="B11" s="220"/>
    </row>
    <row r="12" spans="1:3" x14ac:dyDescent="0.45">
      <c r="A12" s="237" t="s">
        <v>250</v>
      </c>
      <c r="B12" s="238"/>
    </row>
    <row r="13" spans="1:3" ht="30.6" x14ac:dyDescent="0.45">
      <c r="A13" s="239" t="s">
        <v>22</v>
      </c>
      <c r="B13" s="240" t="s">
        <v>23</v>
      </c>
    </row>
    <row r="14" spans="1:3" ht="30.6" x14ac:dyDescent="0.45">
      <c r="A14" s="239" t="s">
        <v>24</v>
      </c>
      <c r="B14" s="241" t="s">
        <v>25</v>
      </c>
    </row>
    <row r="15" spans="1:3" ht="59.4" x14ac:dyDescent="0.45">
      <c r="A15" s="239" t="s">
        <v>26</v>
      </c>
      <c r="B15" s="242" t="s">
        <v>27</v>
      </c>
    </row>
    <row r="16" spans="1:3" ht="30.6" x14ac:dyDescent="0.45">
      <c r="A16" s="239" t="s">
        <v>28</v>
      </c>
      <c r="B16" s="243" t="s">
        <v>29</v>
      </c>
    </row>
    <row r="17" spans="1:2" x14ac:dyDescent="0.45">
      <c r="A17" s="239" t="s">
        <v>30</v>
      </c>
      <c r="B17" s="244" t="s">
        <v>31</v>
      </c>
    </row>
  </sheetData>
  <hyperlinks>
    <hyperlink ref="A4" location="'CBET SCHEDULE'!A1" display="CBET SCHEDULE" xr:uid="{3BBADBE1-8612-4C6C-8701-FB1841755A5D}"/>
    <hyperlink ref="A5" location="'PERFORMANCE SCHEDULE'!A1" display="PERFORMANCE SCHEDULE" xr:uid="{A1DFB4A0-27B9-482C-B02E-7C3794DEEBD9}"/>
    <hyperlink ref="A8" location="'Goals and Budget Allocation'!A1" display="GOALS AND BUDGET ALLOCATION" xr:uid="{AB9C294E-61AE-42CE-A801-30349D705B75}"/>
    <hyperlink ref="A6" location="'ACTIVITIES SCHEDULE'!A1" display="ACTIVITIES SCHEDULE" xr:uid="{D65A6D9D-55A9-4755-B2A3-171CB5197280}"/>
    <hyperlink ref="A10" location="'Budget Justification'!A1" display="BUDGET JUSTIFICATION" xr:uid="{169F1F9B-528E-40E0-AE9F-050568F36074}"/>
    <hyperlink ref="A9" location="'Budget Template'!A1" display="BUDGET TEMPLATE" xr:uid="{2F2FE709-4FB4-4428-B85A-CFB5EDA47EA2}"/>
    <hyperlink ref="A3" location="'Applicant Work Plan Checklist'!A1" display="Applicant Work Plan Checklist" xr:uid="{075F0895-172C-4834-B0EB-5F78CE6FF541}"/>
    <hyperlink ref="A7" location="'Regional Centers Workplans'!A1" display="CENTER SCOPE OF WORK" xr:uid="{AB149139-F910-4DAA-8057-8D05156A1B37}"/>
  </hyperlinks>
  <pageMargins left="0.7" right="0.7" top="1.4583333333333299" bottom="0.75" header="0.3" footer="0.3"/>
  <pageSetup scale="55" orientation="portrait" r:id="rId1"/>
  <headerFooter>
    <oddHeader>&amp;C&amp;8&amp;G&amp;11
&amp;D &amp;F
&amp;16 &amp;A</oddHeader>
    <oddFooter>&amp;CAzAHEC
&amp;D &amp;F
 &amp;A</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34BEE-C9FA-4B6C-A202-E81107E1C1C5}">
  <sheetPr>
    <tabColor rgb="FF002060"/>
    <pageSetUpPr fitToPage="1"/>
  </sheetPr>
  <dimension ref="A1:F11"/>
  <sheetViews>
    <sheetView view="pageLayout" zoomScale="112" zoomScaleNormal="140" zoomScalePageLayoutView="112" workbookViewId="0">
      <selection activeCell="E4" sqref="E4"/>
    </sheetView>
  </sheetViews>
  <sheetFormatPr defaultColWidth="9" defaultRowHeight="14.4" x14ac:dyDescent="0.3"/>
  <cols>
    <col min="1" max="1" width="38.21875" customWidth="1"/>
    <col min="2" max="2" width="27.44140625" customWidth="1"/>
    <col min="3" max="3" width="14.21875" customWidth="1"/>
    <col min="4" max="4" width="30.21875" customWidth="1"/>
    <col min="5" max="5" width="26.44140625" style="357" customWidth="1"/>
    <col min="6" max="6" width="21" customWidth="1"/>
  </cols>
  <sheetData>
    <row r="1" spans="1:6" s="337" customFormat="1" ht="30" customHeight="1" x14ac:dyDescent="0.3">
      <c r="A1" s="333" t="s">
        <v>319</v>
      </c>
      <c r="B1" s="334" t="s">
        <v>330</v>
      </c>
      <c r="C1" s="334" t="s">
        <v>320</v>
      </c>
      <c r="D1" s="334" t="s">
        <v>321</v>
      </c>
      <c r="E1" s="335" t="s">
        <v>322</v>
      </c>
      <c r="F1" s="336"/>
    </row>
    <row r="2" spans="1:6" ht="60.75" customHeight="1" x14ac:dyDescent="0.3">
      <c r="A2" s="338" t="s">
        <v>323</v>
      </c>
      <c r="B2" s="339">
        <f>SUM('PERFORMANCE SCHEDULE'!K3)</f>
        <v>0</v>
      </c>
      <c r="C2" s="340">
        <v>120</v>
      </c>
      <c r="D2" s="341">
        <f>B2/C2</f>
        <v>0</v>
      </c>
      <c r="E2" s="342">
        <f>VLOOKUP(D2, 'Lookup Tables- Do Not Modify'!C5:D11, 2, TRUE)</f>
        <v>199789.97499999998</v>
      </c>
      <c r="F2" s="343"/>
    </row>
    <row r="3" spans="1:6" ht="60.75" customHeight="1" x14ac:dyDescent="0.3">
      <c r="A3" s="338" t="s">
        <v>324</v>
      </c>
      <c r="B3" s="344">
        <f>SUM('PERFORMANCE SCHEDULE'!J9)</f>
        <v>0</v>
      </c>
      <c r="C3" s="340">
        <v>2</v>
      </c>
      <c r="D3" s="341">
        <f>B3/C3</f>
        <v>0</v>
      </c>
      <c r="E3" s="342">
        <v>30000</v>
      </c>
      <c r="F3" s="343"/>
    </row>
    <row r="4" spans="1:6" ht="69" x14ac:dyDescent="0.3">
      <c r="A4" s="338" t="s">
        <v>325</v>
      </c>
      <c r="B4" s="345">
        <f>SUM('PERFORMANCE SCHEDULE'!K13)</f>
        <v>0</v>
      </c>
      <c r="C4" s="340">
        <v>120</v>
      </c>
      <c r="D4" s="341">
        <f t="shared" ref="D4:D5" si="0">B4/C4</f>
        <v>0</v>
      </c>
      <c r="E4" s="342">
        <f>VLOOKUP(D4, 'Lookup Tables- Do Not Modify'!C22:D28, 2, TRUE)</f>
        <v>26618.899999999998</v>
      </c>
      <c r="F4" s="343"/>
    </row>
    <row r="5" spans="1:6" ht="70.5" customHeight="1" x14ac:dyDescent="0.3">
      <c r="A5" s="346" t="s">
        <v>326</v>
      </c>
      <c r="B5" s="347">
        <f>SUM('PERFORMANCE SCHEDULE'!K19)</f>
        <v>0</v>
      </c>
      <c r="C5" s="348">
        <v>300</v>
      </c>
      <c r="D5" s="349">
        <f t="shared" si="0"/>
        <v>0</v>
      </c>
      <c r="E5" s="350">
        <f>VLOOKUP(D5, 'Lookup Tables- Do Not Modify'!C35:D41, 2, TRUE)</f>
        <v>29280.866999999995</v>
      </c>
      <c r="F5" s="343"/>
    </row>
    <row r="6" spans="1:6" x14ac:dyDescent="0.3">
      <c r="A6" s="351"/>
      <c r="B6" s="351"/>
      <c r="C6" s="351"/>
      <c r="D6" s="351" t="s">
        <v>327</v>
      </c>
      <c r="E6" s="352">
        <f>SUM(E2:E5)</f>
        <v>285689.74199999997</v>
      </c>
      <c r="F6" s="343"/>
    </row>
    <row r="7" spans="1:6" x14ac:dyDescent="0.3">
      <c r="A7" s="353"/>
      <c r="B7" s="353"/>
      <c r="C7" s="353"/>
      <c r="D7" s="353"/>
      <c r="E7" s="354"/>
      <c r="F7" s="343"/>
    </row>
    <row r="8" spans="1:6" ht="22.95" customHeight="1" x14ac:dyDescent="0.3">
      <c r="A8" s="353"/>
      <c r="B8" s="353"/>
      <c r="C8" s="353"/>
      <c r="D8" s="353" t="s">
        <v>328</v>
      </c>
      <c r="E8" s="355">
        <v>120579</v>
      </c>
      <c r="F8" s="356"/>
    </row>
    <row r="9" spans="1:6" x14ac:dyDescent="0.3">
      <c r="A9" s="353"/>
      <c r="B9" s="353"/>
      <c r="C9" s="353"/>
      <c r="D9" s="353" t="s">
        <v>329</v>
      </c>
      <c r="E9" s="355">
        <f>E6-E8</f>
        <v>165110.74199999997</v>
      </c>
      <c r="F9" s="343"/>
    </row>
    <row r="11" spans="1:6" x14ac:dyDescent="0.3">
      <c r="D11" s="343" t="s">
        <v>51</v>
      </c>
    </row>
  </sheetData>
  <sheetProtection algorithmName="SHA-512" hashValue="5+tYmfZ9rLuchxSzkw2BL4a3VMEfDWYnkA2l40uUv6yF1lozL/eRVcwwTb92xkxvDnQeIXuIKL9XYx5BEpu7hA==" saltValue="yLh99D7Xz54+stqtimTJ1g==" spinCount="100000" sheet="1" objects="1" scenarios="1"/>
  <pageMargins left="0.7" right="0.7" top="1.4583333333333299" bottom="0.75" header="0.3" footer="0.3"/>
  <pageSetup scale="66" orientation="portrait" r:id="rId1"/>
  <headerFooter>
    <oddHeader>&amp;C&amp;8&amp;G&amp;11
&amp;D &amp;F
&amp;16 &amp;A</oddHeader>
    <oddFooter>&amp;CAzAHEC
&amp;D &amp;F
 &amp;A</oddFooter>
  </headerFooter>
  <legacyDrawingHF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FF262-FFAE-4F3B-8CE3-8824F339A74F}">
  <sheetPr>
    <tabColor theme="4" tint="-0.249977111117893"/>
    <pageSetUpPr fitToPage="1"/>
  </sheetPr>
  <dimension ref="A1:H55"/>
  <sheetViews>
    <sheetView view="pageLayout" zoomScaleNormal="100" workbookViewId="0">
      <selection activeCell="F4" sqref="F4"/>
    </sheetView>
  </sheetViews>
  <sheetFormatPr defaultRowHeight="14.4" x14ac:dyDescent="0.3"/>
  <cols>
    <col min="1" max="1" width="16.21875" bestFit="1" customWidth="1"/>
    <col min="2" max="2" width="17.77734375" bestFit="1" customWidth="1"/>
    <col min="3" max="3" width="11.44140625" customWidth="1"/>
    <col min="4" max="4" width="19.77734375" customWidth="1"/>
    <col min="5" max="5" width="14" customWidth="1"/>
    <col min="6" max="6" width="19" bestFit="1" customWidth="1"/>
    <col min="7" max="7" width="12.77734375" customWidth="1"/>
  </cols>
  <sheetData>
    <row r="1" spans="1:8" x14ac:dyDescent="0.3">
      <c r="A1" t="s">
        <v>318</v>
      </c>
    </row>
    <row r="3" spans="1:8" x14ac:dyDescent="0.3">
      <c r="B3" s="23" t="s">
        <v>3</v>
      </c>
      <c r="D3" t="s">
        <v>317</v>
      </c>
      <c r="G3" t="s">
        <v>316</v>
      </c>
      <c r="H3" t="s">
        <v>315</v>
      </c>
    </row>
    <row r="4" spans="1:8" x14ac:dyDescent="0.3">
      <c r="B4" t="s">
        <v>314</v>
      </c>
      <c r="C4" t="s">
        <v>310</v>
      </c>
      <c r="D4" t="s">
        <v>2</v>
      </c>
      <c r="E4" t="s">
        <v>311</v>
      </c>
      <c r="F4" t="s">
        <v>312</v>
      </c>
    </row>
    <row r="5" spans="1:8" x14ac:dyDescent="0.3">
      <c r="B5" s="321" t="s">
        <v>9</v>
      </c>
      <c r="C5" s="332">
        <v>0</v>
      </c>
      <c r="D5" s="331">
        <v>199789.97499999998</v>
      </c>
      <c r="E5" s="331">
        <v>187500</v>
      </c>
      <c r="F5" s="321">
        <f>SUM(F11*0.35)</f>
        <v>199789.97499999998</v>
      </c>
    </row>
    <row r="6" spans="1:8" x14ac:dyDescent="0.3">
      <c r="C6" s="332">
        <v>0.5</v>
      </c>
      <c r="D6" s="331">
        <v>285414.25</v>
      </c>
      <c r="E6" s="331">
        <v>257586.75</v>
      </c>
      <c r="F6" s="321">
        <f>SUM(F11*C6)</f>
        <v>285414.25</v>
      </c>
    </row>
    <row r="7" spans="1:8" x14ac:dyDescent="0.3">
      <c r="C7" s="332">
        <v>0.6</v>
      </c>
      <c r="D7" s="331">
        <v>342497.1</v>
      </c>
      <c r="E7" s="331">
        <v>309104.09999999998</v>
      </c>
      <c r="F7" s="321">
        <f>SUM(F11*C7)</f>
        <v>342497.1</v>
      </c>
    </row>
    <row r="8" spans="1:8" x14ac:dyDescent="0.3">
      <c r="C8" s="332">
        <v>0.7</v>
      </c>
      <c r="D8" s="331">
        <v>399579.94999999995</v>
      </c>
      <c r="E8" s="331">
        <v>360621.45</v>
      </c>
      <c r="F8" s="321">
        <f>SUM(F11*C8)</f>
        <v>399579.94999999995</v>
      </c>
    </row>
    <row r="9" spans="1:8" x14ac:dyDescent="0.3">
      <c r="C9" s="332">
        <v>0.8</v>
      </c>
      <c r="D9" s="331">
        <v>456662.80000000005</v>
      </c>
      <c r="E9" s="331">
        <v>412138.8</v>
      </c>
      <c r="F9" s="321">
        <f>SUM(F11*C9)</f>
        <v>456662.80000000005</v>
      </c>
    </row>
    <row r="10" spans="1:8" x14ac:dyDescent="0.3">
      <c r="C10" s="332">
        <v>0.9</v>
      </c>
      <c r="D10" s="331">
        <v>513745.65</v>
      </c>
      <c r="E10" s="331">
        <v>463656.15</v>
      </c>
      <c r="F10" s="321">
        <f>SUM(F11*C10)</f>
        <v>513745.65</v>
      </c>
    </row>
    <row r="11" spans="1:8" x14ac:dyDescent="0.3">
      <c r="C11" s="332">
        <v>1</v>
      </c>
      <c r="D11" s="331">
        <v>570828.5</v>
      </c>
      <c r="E11" s="331">
        <v>515173.5</v>
      </c>
      <c r="F11" s="321">
        <v>570828.5</v>
      </c>
      <c r="G11" s="49">
        <v>0.75</v>
      </c>
      <c r="H11" t="s">
        <v>313</v>
      </c>
    </row>
    <row r="12" spans="1:8" x14ac:dyDescent="0.3">
      <c r="D12" s="330"/>
    </row>
    <row r="13" spans="1:8" x14ac:dyDescent="0.3">
      <c r="B13" s="326" t="s">
        <v>187</v>
      </c>
      <c r="D13" s="330"/>
    </row>
    <row r="14" spans="1:8" x14ac:dyDescent="0.3">
      <c r="B14">
        <v>0</v>
      </c>
      <c r="D14" s="330">
        <v>0</v>
      </c>
    </row>
    <row r="15" spans="1:8" x14ac:dyDescent="0.3">
      <c r="B15">
        <v>1</v>
      </c>
      <c r="D15" s="330">
        <v>15000</v>
      </c>
      <c r="F15">
        <v>15000</v>
      </c>
    </row>
    <row r="16" spans="1:8" x14ac:dyDescent="0.3">
      <c r="B16">
        <v>2</v>
      </c>
      <c r="D16" s="330">
        <v>30000</v>
      </c>
      <c r="F16">
        <v>30000</v>
      </c>
      <c r="G16" s="327">
        <v>0.04</v>
      </c>
    </row>
    <row r="17" spans="2:7" x14ac:dyDescent="0.3">
      <c r="B17">
        <v>3</v>
      </c>
      <c r="D17" s="330">
        <v>45000</v>
      </c>
    </row>
    <row r="18" spans="2:7" x14ac:dyDescent="0.3">
      <c r="B18">
        <v>4</v>
      </c>
      <c r="D18" s="330">
        <v>60000</v>
      </c>
    </row>
    <row r="19" spans="2:7" x14ac:dyDescent="0.3">
      <c r="D19" s="329"/>
    </row>
    <row r="20" spans="2:7" x14ac:dyDescent="0.3">
      <c r="B20" s="326" t="s">
        <v>10</v>
      </c>
      <c r="D20" s="329"/>
    </row>
    <row r="21" spans="2:7" x14ac:dyDescent="0.3">
      <c r="C21" t="s">
        <v>310</v>
      </c>
      <c r="D21" s="329" t="s">
        <v>2</v>
      </c>
    </row>
    <row r="22" spans="2:7" x14ac:dyDescent="0.3">
      <c r="C22" s="49">
        <v>0</v>
      </c>
      <c r="D22" s="324">
        <v>26618.899999999998</v>
      </c>
      <c r="E22" s="324">
        <f>31250-10000</f>
        <v>21250</v>
      </c>
      <c r="F22" s="321">
        <f>SUM(F28*0.35)</f>
        <v>26618.899999999998</v>
      </c>
    </row>
    <row r="23" spans="2:7" x14ac:dyDescent="0.3">
      <c r="C23" s="49">
        <v>0.5</v>
      </c>
      <c r="D23" s="324">
        <v>38027</v>
      </c>
      <c r="E23" s="324">
        <f>42931.13-20000</f>
        <v>22931.129999999997</v>
      </c>
      <c r="F23" s="321">
        <f>SUM(F28*C23)</f>
        <v>38027</v>
      </c>
    </row>
    <row r="24" spans="2:7" x14ac:dyDescent="0.3">
      <c r="C24" s="49">
        <v>0.6</v>
      </c>
      <c r="D24" s="324">
        <v>45632.4</v>
      </c>
      <c r="E24" s="324">
        <f>51517.35-20000</f>
        <v>31517.35</v>
      </c>
      <c r="F24" s="321">
        <f>SUM(F28*C24)</f>
        <v>45632.4</v>
      </c>
    </row>
    <row r="25" spans="2:7" x14ac:dyDescent="0.3">
      <c r="C25" s="49">
        <v>0.7</v>
      </c>
      <c r="D25" s="324">
        <v>53237.799999999996</v>
      </c>
      <c r="E25" s="324">
        <f>60103.58-20000</f>
        <v>40103.58</v>
      </c>
      <c r="F25">
        <f>SUM(F28*C25)</f>
        <v>53237.799999999996</v>
      </c>
    </row>
    <row r="26" spans="2:7" x14ac:dyDescent="0.3">
      <c r="C26" s="49">
        <v>0.8</v>
      </c>
      <c r="D26" s="324">
        <v>60843.200000000004</v>
      </c>
      <c r="E26" s="324">
        <f>68689.8-20000</f>
        <v>48689.8</v>
      </c>
      <c r="F26">
        <f>SUM(F28*C26)</f>
        <v>60843.200000000004</v>
      </c>
    </row>
    <row r="27" spans="2:7" x14ac:dyDescent="0.3">
      <c r="C27" s="49">
        <v>0.9</v>
      </c>
      <c r="D27" s="324">
        <v>68448.600000000006</v>
      </c>
      <c r="E27" s="324">
        <f>77276.03-20000</f>
        <v>57276.03</v>
      </c>
      <c r="F27">
        <f>SUM(F28*C27)</f>
        <v>68448.600000000006</v>
      </c>
    </row>
    <row r="28" spans="2:7" x14ac:dyDescent="0.3">
      <c r="C28" s="49">
        <v>1</v>
      </c>
      <c r="D28" s="323">
        <v>76054</v>
      </c>
      <c r="E28" s="323">
        <f>85862.25-20000</f>
        <v>65862.25</v>
      </c>
      <c r="F28" s="328">
        <v>76054</v>
      </c>
      <c r="G28" s="327">
        <v>0.1</v>
      </c>
    </row>
    <row r="33" spans="2:7" x14ac:dyDescent="0.3">
      <c r="B33" s="326" t="s">
        <v>11</v>
      </c>
      <c r="D33" t="s">
        <v>312</v>
      </c>
      <c r="E33" t="s">
        <v>311</v>
      </c>
    </row>
    <row r="34" spans="2:7" x14ac:dyDescent="0.3">
      <c r="C34" t="s">
        <v>310</v>
      </c>
      <c r="D34" s="325" t="s">
        <v>2</v>
      </c>
    </row>
    <row r="35" spans="2:7" x14ac:dyDescent="0.3">
      <c r="C35" s="49">
        <v>0</v>
      </c>
      <c r="D35" s="324">
        <v>29280.866999999995</v>
      </c>
      <c r="E35" s="324">
        <f>31250</f>
        <v>31250</v>
      </c>
      <c r="F35" s="321">
        <f>SUM(F41*0.35)</f>
        <v>29280.866999999995</v>
      </c>
    </row>
    <row r="36" spans="2:7" x14ac:dyDescent="0.3">
      <c r="C36" s="49">
        <v>0.5</v>
      </c>
      <c r="D36" s="324">
        <v>41829.81</v>
      </c>
      <c r="E36" s="324">
        <f>42931.13-10000</f>
        <v>32931.129999999997</v>
      </c>
      <c r="F36" s="321">
        <f>SUM(F41*C36)</f>
        <v>41829.81</v>
      </c>
    </row>
    <row r="37" spans="2:7" x14ac:dyDescent="0.3">
      <c r="C37" s="49">
        <v>0.6</v>
      </c>
      <c r="D37" s="324">
        <v>50195.771999999997</v>
      </c>
      <c r="E37" s="324">
        <f>51517.35-10000</f>
        <v>41517.35</v>
      </c>
      <c r="F37" s="321">
        <f>SUM(F41*C37)</f>
        <v>50195.771999999997</v>
      </c>
    </row>
    <row r="38" spans="2:7" x14ac:dyDescent="0.3">
      <c r="C38" s="49">
        <v>0.7</v>
      </c>
      <c r="D38" s="324">
        <v>58561.733999999989</v>
      </c>
      <c r="E38" s="324">
        <f>60103.58-10000</f>
        <v>50103.58</v>
      </c>
      <c r="F38" s="321">
        <f>SUM(F41*C38)</f>
        <v>58561.733999999989</v>
      </c>
    </row>
    <row r="39" spans="2:7" x14ac:dyDescent="0.3">
      <c r="C39" s="49">
        <v>0.8</v>
      </c>
      <c r="D39" s="324">
        <v>66927.695999999996</v>
      </c>
      <c r="E39" s="324">
        <f>68689.8-10000</f>
        <v>58689.8</v>
      </c>
      <c r="F39" s="321">
        <f>SUM(F41*C39)</f>
        <v>66927.695999999996</v>
      </c>
    </row>
    <row r="40" spans="2:7" x14ac:dyDescent="0.3">
      <c r="C40" s="49">
        <v>0.9</v>
      </c>
      <c r="D40" s="324">
        <v>75293.657999999996</v>
      </c>
      <c r="E40" s="324">
        <f>77276.03-10000</f>
        <v>67276.03</v>
      </c>
      <c r="F40" s="321">
        <f>SUM(F41*C40)</f>
        <v>75293.657999999996</v>
      </c>
    </row>
    <row r="41" spans="2:7" x14ac:dyDescent="0.3">
      <c r="C41" s="49">
        <v>1</v>
      </c>
      <c r="D41" s="323">
        <v>83659.62</v>
      </c>
      <c r="E41" s="323">
        <f>85862.25-10000</f>
        <v>75862.25</v>
      </c>
      <c r="F41" s="321">
        <v>83659.62</v>
      </c>
      <c r="G41" s="322">
        <v>0.11</v>
      </c>
    </row>
    <row r="46" spans="2:7" x14ac:dyDescent="0.3">
      <c r="B46" t="s">
        <v>215</v>
      </c>
      <c r="D46" s="321">
        <f t="shared" ref="D46:F52" si="0">SUM(D35+D22+D5)</f>
        <v>255689.74199999997</v>
      </c>
      <c r="E46" s="321">
        <f t="shared" si="0"/>
        <v>240000</v>
      </c>
      <c r="F46" s="321">
        <f t="shared" si="0"/>
        <v>255689.74199999997</v>
      </c>
    </row>
    <row r="47" spans="2:7" x14ac:dyDescent="0.3">
      <c r="D47" s="321">
        <f t="shared" si="0"/>
        <v>365271.06</v>
      </c>
      <c r="E47" s="321">
        <f t="shared" si="0"/>
        <v>313449.01</v>
      </c>
      <c r="F47" s="321">
        <f t="shared" si="0"/>
        <v>365271.06</v>
      </c>
    </row>
    <row r="48" spans="2:7" x14ac:dyDescent="0.3">
      <c r="D48" s="321">
        <f t="shared" si="0"/>
        <v>438325.272</v>
      </c>
      <c r="E48" s="321">
        <f t="shared" si="0"/>
        <v>382138.8</v>
      </c>
      <c r="F48" s="321">
        <f t="shared" si="0"/>
        <v>438325.272</v>
      </c>
    </row>
    <row r="49" spans="2:6" x14ac:dyDescent="0.3">
      <c r="D49" s="321">
        <f t="shared" si="0"/>
        <v>511379.48399999994</v>
      </c>
      <c r="E49" s="321">
        <f t="shared" si="0"/>
        <v>450828.61</v>
      </c>
      <c r="F49" s="321">
        <f t="shared" si="0"/>
        <v>511379.48399999994</v>
      </c>
    </row>
    <row r="50" spans="2:6" x14ac:dyDescent="0.3">
      <c r="D50" s="321">
        <f t="shared" si="0"/>
        <v>584433.696</v>
      </c>
      <c r="E50" s="321">
        <f t="shared" si="0"/>
        <v>519518.4</v>
      </c>
      <c r="F50" s="321">
        <f t="shared" si="0"/>
        <v>584433.696</v>
      </c>
    </row>
    <row r="51" spans="2:6" x14ac:dyDescent="0.3">
      <c r="D51" s="321">
        <f t="shared" si="0"/>
        <v>657487.90800000005</v>
      </c>
      <c r="E51" s="321">
        <f t="shared" si="0"/>
        <v>588208.21</v>
      </c>
      <c r="F51" s="321">
        <f t="shared" si="0"/>
        <v>657487.90800000005</v>
      </c>
    </row>
    <row r="52" spans="2:6" x14ac:dyDescent="0.3">
      <c r="D52" s="321">
        <f t="shared" si="0"/>
        <v>730542.12</v>
      </c>
      <c r="E52" s="321">
        <f t="shared" si="0"/>
        <v>656898</v>
      </c>
      <c r="F52" s="321">
        <f t="shared" si="0"/>
        <v>730542.12</v>
      </c>
    </row>
    <row r="54" spans="2:6" x14ac:dyDescent="0.3">
      <c r="B54" t="s">
        <v>309</v>
      </c>
    </row>
    <row r="55" spans="2:6" x14ac:dyDescent="0.3">
      <c r="B55" t="s">
        <v>308</v>
      </c>
      <c r="D55" s="321">
        <f>SUM(D52+30000)</f>
        <v>760542.12</v>
      </c>
      <c r="E55" s="321">
        <f>SUM(E52+30000)</f>
        <v>686898</v>
      </c>
      <c r="F55" s="321">
        <f>SUM(F52+30000)</f>
        <v>760542.12</v>
      </c>
    </row>
  </sheetData>
  <sheetProtection algorithmName="SHA-512" hashValue="sPyYFsAUbwYKVlUBoOA27yah5d1VBVRIhhuM/j+Ln5yxDOFu05bRJktruqucSMKkZ3pg++F29LjRUfAbXz5BrQ==" saltValue="KyQiMJXeLCyRxlSb77UY6A==" spinCount="100000" sheet="1" objects="1" scenarios="1"/>
  <pageMargins left="0.7" right="0.7" top="1.4583333333333299" bottom="0.75" header="0.3" footer="0.3"/>
  <pageSetup scale="52" orientation="portrait" r:id="rId1"/>
  <headerFooter>
    <oddHeader>&amp;C&amp;8&amp;G&amp;11
&amp;D &amp;F
&amp;16 &amp;A</oddHeader>
    <oddFooter>&amp;CAzAHEC
&amp;D &amp;F
 &amp;A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67C47-3141-4C23-BBC1-4FA5542B4B1C}">
  <sheetPr codeName="Sheet2">
    <tabColor theme="7"/>
    <pageSetUpPr fitToPage="1"/>
  </sheetPr>
  <dimension ref="A2:C24"/>
  <sheetViews>
    <sheetView view="pageLayout" zoomScale="110" zoomScaleNormal="100" zoomScalePageLayoutView="110" workbookViewId="0">
      <selection activeCell="B20" sqref="B20"/>
    </sheetView>
  </sheetViews>
  <sheetFormatPr defaultColWidth="8.77734375" defaultRowHeight="14.4" x14ac:dyDescent="0.3"/>
  <cols>
    <col min="1" max="1" width="73.21875" style="12" customWidth="1"/>
    <col min="2" max="2" width="17.21875" style="13" customWidth="1"/>
  </cols>
  <sheetData>
    <row r="2" spans="1:3" ht="37.200000000000003" x14ac:dyDescent="0.35">
      <c r="A2" s="228" t="s">
        <v>337</v>
      </c>
      <c r="B2" s="11" t="s">
        <v>333</v>
      </c>
    </row>
    <row r="3" spans="1:3" ht="28.8" x14ac:dyDescent="0.3">
      <c r="A3" s="374" t="s">
        <v>350</v>
      </c>
      <c r="B3" s="245"/>
    </row>
    <row r="4" spans="1:3" x14ac:dyDescent="0.3">
      <c r="A4" s="375" t="s">
        <v>32</v>
      </c>
      <c r="B4" s="246" t="s">
        <v>51</v>
      </c>
    </row>
    <row r="5" spans="1:3" x14ac:dyDescent="0.3">
      <c r="A5" s="232" t="s">
        <v>338</v>
      </c>
      <c r="B5" s="246" t="s">
        <v>51</v>
      </c>
    </row>
    <row r="6" spans="1:3" x14ac:dyDescent="0.3">
      <c r="A6" s="375" t="s">
        <v>346</v>
      </c>
      <c r="B6" s="246" t="s">
        <v>51</v>
      </c>
      <c r="C6" s="224" t="s">
        <v>51</v>
      </c>
    </row>
    <row r="7" spans="1:3" x14ac:dyDescent="0.3">
      <c r="A7" s="375" t="s">
        <v>347</v>
      </c>
      <c r="B7" s="245"/>
      <c r="C7" t="s">
        <v>51</v>
      </c>
    </row>
    <row r="8" spans="1:3" x14ac:dyDescent="0.3">
      <c r="A8" s="232" t="s">
        <v>339</v>
      </c>
      <c r="B8" s="246" t="s">
        <v>51</v>
      </c>
      <c r="C8" s="224" t="s">
        <v>51</v>
      </c>
    </row>
    <row r="9" spans="1:3" x14ac:dyDescent="0.3">
      <c r="A9" s="232" t="s">
        <v>340</v>
      </c>
      <c r="B9" s="246" t="s">
        <v>51</v>
      </c>
      <c r="C9" s="224" t="s">
        <v>51</v>
      </c>
    </row>
    <row r="10" spans="1:3" ht="28.8" x14ac:dyDescent="0.3">
      <c r="A10" s="232" t="s">
        <v>341</v>
      </c>
      <c r="B10" s="246" t="s">
        <v>51</v>
      </c>
      <c r="C10" s="224" t="s">
        <v>51</v>
      </c>
    </row>
    <row r="11" spans="1:3" x14ac:dyDescent="0.3">
      <c r="A11" s="232" t="s">
        <v>342</v>
      </c>
      <c r="B11" s="246" t="s">
        <v>51</v>
      </c>
      <c r="C11" s="224" t="s">
        <v>51</v>
      </c>
    </row>
    <row r="12" spans="1:3" x14ac:dyDescent="0.3">
      <c r="A12" s="232" t="s">
        <v>343</v>
      </c>
      <c r="B12" s="246" t="s">
        <v>51</v>
      </c>
      <c r="C12" s="224" t="s">
        <v>51</v>
      </c>
    </row>
    <row r="13" spans="1:3" x14ac:dyDescent="0.3">
      <c r="A13" s="232" t="s">
        <v>344</v>
      </c>
      <c r="B13" s="246" t="s">
        <v>51</v>
      </c>
      <c r="C13" s="224" t="s">
        <v>51</v>
      </c>
    </row>
    <row r="14" spans="1:3" x14ac:dyDescent="0.3">
      <c r="A14" s="375" t="s">
        <v>348</v>
      </c>
      <c r="B14" s="246"/>
      <c r="C14" s="224"/>
    </row>
    <row r="15" spans="1:3" x14ac:dyDescent="0.3">
      <c r="A15" s="375" t="s">
        <v>349</v>
      </c>
      <c r="B15" s="246"/>
      <c r="C15" s="224"/>
    </row>
    <row r="16" spans="1:3" x14ac:dyDescent="0.3">
      <c r="A16" s="232" t="s">
        <v>336</v>
      </c>
      <c r="B16" s="245"/>
    </row>
    <row r="17" spans="1:2" ht="28.8" x14ac:dyDescent="0.3">
      <c r="A17" s="232" t="s">
        <v>352</v>
      </c>
      <c r="B17" s="245"/>
    </row>
    <row r="18" spans="1:2" ht="28.8" x14ac:dyDescent="0.3">
      <c r="A18" s="231" t="s">
        <v>351</v>
      </c>
      <c r="B18" s="245"/>
    </row>
    <row r="19" spans="1:2" ht="19.2" customHeight="1" x14ac:dyDescent="0.3">
      <c r="A19" s="231" t="s">
        <v>356</v>
      </c>
      <c r="B19" s="245"/>
    </row>
    <row r="20" spans="1:2" ht="31.2" customHeight="1" x14ac:dyDescent="0.3">
      <c r="A20" s="232" t="s">
        <v>353</v>
      </c>
      <c r="B20" s="245"/>
    </row>
    <row r="21" spans="1:2" ht="31.2" customHeight="1" x14ac:dyDescent="0.3">
      <c r="A21" s="232" t="s">
        <v>354</v>
      </c>
      <c r="B21" s="245"/>
    </row>
    <row r="22" spans="1:2" ht="31.2" customHeight="1" x14ac:dyDescent="0.3">
      <c r="A22" s="232" t="s">
        <v>355</v>
      </c>
      <c r="B22" s="245"/>
    </row>
    <row r="23" spans="1:2" x14ac:dyDescent="0.3">
      <c r="A23" s="231" t="s">
        <v>237</v>
      </c>
      <c r="B23" s="245"/>
    </row>
    <row r="24" spans="1:2" ht="28.8" x14ac:dyDescent="0.3">
      <c r="A24" s="232" t="s">
        <v>238</v>
      </c>
      <c r="B24" s="245"/>
    </row>
  </sheetData>
  <hyperlinks>
    <hyperlink ref="A4" location="'CBET SCHEDULE'!A1" display="1.      CBET SCHEDULE" xr:uid="{B851D0BE-2A32-4618-8D8F-9712D9AA7EFC}"/>
    <hyperlink ref="A6" location="'PERFORMANCE SCHEDULE'!A1" display="1.      PERFORMANCE  SCHEDULE" xr:uid="{8662D238-6E3D-4718-B84C-B86ADBAD9653}"/>
    <hyperlink ref="A14" location="'Budget Template'!A1" display="2.      Budget" xr:uid="{E7D52DB1-E908-4A80-9A1E-CB09AE1FFE6E}"/>
    <hyperlink ref="A15" location="'Budget Justification'!A1" display="3.      Budget Justification" xr:uid="{D36257B9-8175-4146-9C75-422FCE92393B}"/>
    <hyperlink ref="A7" location="'ACTIVITIES SCHEDULE'!A1" display="2.      ACTIVITIES SCHEDULE " xr:uid="{56D7A672-EAF3-47E4-AB00-5D6F421A61E7}"/>
  </hyperlinks>
  <pageMargins left="0.7" right="0.7" top="1.4583333333333299" bottom="0.75" header="0.3" footer="0.3"/>
  <pageSetup scale="91" orientation="portrait" r:id="rId1"/>
  <headerFooter>
    <oddHeader>&amp;C&amp;8&amp;G&amp;11
&amp;D &amp;F
&amp;16 &amp;A</oddHeader>
    <oddFooter>&amp;CAzAHEC
&amp;D &amp;F
 &amp;A</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342900</xdr:colOff>
                    <xdr:row>3</xdr:row>
                    <xdr:rowOff>0</xdr:rowOff>
                  </from>
                  <to>
                    <xdr:col>1</xdr:col>
                    <xdr:colOff>609600</xdr:colOff>
                    <xdr:row>4</xdr:row>
                    <xdr:rowOff>15240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1</xdr:col>
                    <xdr:colOff>342900</xdr:colOff>
                    <xdr:row>5</xdr:row>
                    <xdr:rowOff>0</xdr:rowOff>
                  </from>
                  <to>
                    <xdr:col>1</xdr:col>
                    <xdr:colOff>609600</xdr:colOff>
                    <xdr:row>6</xdr:row>
                    <xdr:rowOff>22860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1</xdr:col>
                    <xdr:colOff>320040</xdr:colOff>
                    <xdr:row>6</xdr:row>
                    <xdr:rowOff>0</xdr:rowOff>
                  </from>
                  <to>
                    <xdr:col>1</xdr:col>
                    <xdr:colOff>579120</xdr:colOff>
                    <xdr:row>7</xdr:row>
                    <xdr:rowOff>15240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1</xdr:col>
                    <xdr:colOff>342900</xdr:colOff>
                    <xdr:row>6</xdr:row>
                    <xdr:rowOff>0</xdr:rowOff>
                  </from>
                  <to>
                    <xdr:col>1</xdr:col>
                    <xdr:colOff>609600</xdr:colOff>
                    <xdr:row>7</xdr:row>
                    <xdr:rowOff>22860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1</xdr:col>
                    <xdr:colOff>342900</xdr:colOff>
                    <xdr:row>7</xdr:row>
                    <xdr:rowOff>0</xdr:rowOff>
                  </from>
                  <to>
                    <xdr:col>1</xdr:col>
                    <xdr:colOff>609600</xdr:colOff>
                    <xdr:row>8</xdr:row>
                    <xdr:rowOff>22860</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1</xdr:col>
                    <xdr:colOff>342900</xdr:colOff>
                    <xdr:row>8</xdr:row>
                    <xdr:rowOff>0</xdr:rowOff>
                  </from>
                  <to>
                    <xdr:col>1</xdr:col>
                    <xdr:colOff>609600</xdr:colOff>
                    <xdr:row>9</xdr:row>
                    <xdr:rowOff>22860</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1</xdr:col>
                    <xdr:colOff>342900</xdr:colOff>
                    <xdr:row>4</xdr:row>
                    <xdr:rowOff>0</xdr:rowOff>
                  </from>
                  <to>
                    <xdr:col>1</xdr:col>
                    <xdr:colOff>609600</xdr:colOff>
                    <xdr:row>5</xdr:row>
                    <xdr:rowOff>22860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1</xdr:col>
                    <xdr:colOff>342900</xdr:colOff>
                    <xdr:row>9</xdr:row>
                    <xdr:rowOff>76200</xdr:rowOff>
                  </from>
                  <to>
                    <xdr:col>1</xdr:col>
                    <xdr:colOff>609600</xdr:colOff>
                    <xdr:row>9</xdr:row>
                    <xdr:rowOff>266700</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1</xdr:col>
                    <xdr:colOff>342900</xdr:colOff>
                    <xdr:row>9</xdr:row>
                    <xdr:rowOff>358140</xdr:rowOff>
                  </from>
                  <to>
                    <xdr:col>1</xdr:col>
                    <xdr:colOff>609600</xdr:colOff>
                    <xdr:row>11</xdr:row>
                    <xdr:rowOff>0</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1</xdr:col>
                    <xdr:colOff>342900</xdr:colOff>
                    <xdr:row>11</xdr:row>
                    <xdr:rowOff>175260</xdr:rowOff>
                  </from>
                  <to>
                    <xdr:col>1</xdr:col>
                    <xdr:colOff>609600</xdr:colOff>
                    <xdr:row>13</xdr:row>
                    <xdr:rowOff>15240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xdr:col>
                    <xdr:colOff>342900</xdr:colOff>
                    <xdr:row>10</xdr:row>
                    <xdr:rowOff>175260</xdr:rowOff>
                  </from>
                  <to>
                    <xdr:col>1</xdr:col>
                    <xdr:colOff>533400</xdr:colOff>
                    <xdr:row>12</xdr:row>
                    <xdr:rowOff>15240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xdr:col>
                    <xdr:colOff>342900</xdr:colOff>
                    <xdr:row>16</xdr:row>
                    <xdr:rowOff>91440</xdr:rowOff>
                  </from>
                  <to>
                    <xdr:col>1</xdr:col>
                    <xdr:colOff>609600</xdr:colOff>
                    <xdr:row>16</xdr:row>
                    <xdr:rowOff>281940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xdr:col>
                    <xdr:colOff>342900</xdr:colOff>
                    <xdr:row>17</xdr:row>
                    <xdr:rowOff>76200</xdr:rowOff>
                  </from>
                  <to>
                    <xdr:col>1</xdr:col>
                    <xdr:colOff>1219200</xdr:colOff>
                    <xdr:row>17</xdr:row>
                    <xdr:rowOff>289560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xdr:col>
                    <xdr:colOff>342900</xdr:colOff>
                    <xdr:row>17</xdr:row>
                    <xdr:rowOff>342900</xdr:rowOff>
                  </from>
                  <to>
                    <xdr:col>1</xdr:col>
                    <xdr:colOff>1219200</xdr:colOff>
                    <xdr:row>19</xdr:row>
                    <xdr:rowOff>160020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xdr:col>
                    <xdr:colOff>342900</xdr:colOff>
                    <xdr:row>23</xdr:row>
                    <xdr:rowOff>38100</xdr:rowOff>
                  </from>
                  <to>
                    <xdr:col>1</xdr:col>
                    <xdr:colOff>1219200</xdr:colOff>
                    <xdr:row>24</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xdr:col>
                    <xdr:colOff>342900</xdr:colOff>
                    <xdr:row>12</xdr:row>
                    <xdr:rowOff>167640</xdr:rowOff>
                  </from>
                  <to>
                    <xdr:col>1</xdr:col>
                    <xdr:colOff>601980</xdr:colOff>
                    <xdr:row>14</xdr:row>
                    <xdr:rowOff>15240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xdr:col>
                    <xdr:colOff>342900</xdr:colOff>
                    <xdr:row>13</xdr:row>
                    <xdr:rowOff>167640</xdr:rowOff>
                  </from>
                  <to>
                    <xdr:col>1</xdr:col>
                    <xdr:colOff>601980</xdr:colOff>
                    <xdr:row>15</xdr:row>
                    <xdr:rowOff>15240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xdr:col>
                    <xdr:colOff>342900</xdr:colOff>
                    <xdr:row>20</xdr:row>
                    <xdr:rowOff>45720</xdr:rowOff>
                  </from>
                  <to>
                    <xdr:col>1</xdr:col>
                    <xdr:colOff>1219200</xdr:colOff>
                    <xdr:row>20</xdr:row>
                    <xdr:rowOff>259080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xdr:col>
                    <xdr:colOff>342900</xdr:colOff>
                    <xdr:row>21</xdr:row>
                    <xdr:rowOff>45720</xdr:rowOff>
                  </from>
                  <to>
                    <xdr:col>1</xdr:col>
                    <xdr:colOff>1219200</xdr:colOff>
                    <xdr:row>21</xdr:row>
                    <xdr:rowOff>259080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xdr:col>
                    <xdr:colOff>358140</xdr:colOff>
                    <xdr:row>18</xdr:row>
                    <xdr:rowOff>236220</xdr:rowOff>
                  </from>
                  <to>
                    <xdr:col>2</xdr:col>
                    <xdr:colOff>0</xdr:colOff>
                    <xdr:row>20</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D41A0-9153-4984-8441-922AB7DCB6DE}">
  <sheetPr codeName="Sheet5">
    <tabColor theme="7"/>
    <pageSetUpPr fitToPage="1"/>
  </sheetPr>
  <dimension ref="A2:I43"/>
  <sheetViews>
    <sheetView view="pageLayout" topLeftCell="A4" zoomScale="80" zoomScaleNormal="90" zoomScalePageLayoutView="80" workbookViewId="0">
      <selection activeCell="D32" sqref="D32"/>
    </sheetView>
  </sheetViews>
  <sheetFormatPr defaultColWidth="8.77734375" defaultRowHeight="14.4" x14ac:dyDescent="0.3"/>
  <cols>
    <col min="1" max="1" width="34" customWidth="1"/>
    <col min="2" max="2" width="33.77734375" customWidth="1"/>
    <col min="3" max="3" width="22.77734375" customWidth="1"/>
    <col min="4" max="4" width="23.5546875" bestFit="1" customWidth="1"/>
    <col min="5" max="8" width="21" customWidth="1"/>
    <col min="9" max="9" width="19.44140625" customWidth="1"/>
  </cols>
  <sheetData>
    <row r="2" spans="1:9" ht="31.5" customHeight="1" thickBot="1" x14ac:dyDescent="0.35">
      <c r="A2" s="24" t="s">
        <v>33</v>
      </c>
      <c r="B2" s="25" t="s">
        <v>62</v>
      </c>
      <c r="C2" s="255" t="s">
        <v>273</v>
      </c>
      <c r="D2" s="26" t="s">
        <v>63</v>
      </c>
      <c r="E2" s="26" t="s">
        <v>64</v>
      </c>
      <c r="F2" s="27" t="s">
        <v>65</v>
      </c>
      <c r="G2" s="26" t="s">
        <v>66</v>
      </c>
      <c r="H2" s="27" t="s">
        <v>65</v>
      </c>
      <c r="I2" s="27" t="s">
        <v>67</v>
      </c>
    </row>
    <row r="3" spans="1:9" ht="19.95" customHeight="1" thickBot="1" x14ac:dyDescent="0.4">
      <c r="A3" s="257"/>
      <c r="B3" s="258"/>
      <c r="C3" s="376" t="s">
        <v>270</v>
      </c>
      <c r="D3" s="377"/>
      <c r="E3" s="377"/>
      <c r="F3" s="377"/>
      <c r="G3" s="377"/>
      <c r="H3" s="377"/>
      <c r="I3" s="378"/>
    </row>
    <row r="4" spans="1:9" ht="15.6" customHeight="1" thickBot="1" x14ac:dyDescent="0.35">
      <c r="A4" s="382" t="s">
        <v>276</v>
      </c>
      <c r="B4" s="384" t="s">
        <v>277</v>
      </c>
      <c r="C4" s="380" t="s">
        <v>274</v>
      </c>
      <c r="D4" s="28" t="s">
        <v>68</v>
      </c>
      <c r="E4" s="260"/>
      <c r="F4" s="259"/>
      <c r="G4" s="261"/>
      <c r="H4" s="261"/>
      <c r="I4" s="262"/>
    </row>
    <row r="5" spans="1:9" ht="96.6" customHeight="1" x14ac:dyDescent="0.3">
      <c r="A5" s="383"/>
      <c r="B5" s="385"/>
      <c r="C5" s="380"/>
      <c r="D5" s="263" t="s">
        <v>69</v>
      </c>
      <c r="E5" s="264" t="s">
        <v>70</v>
      </c>
      <c r="F5" s="285"/>
      <c r="G5" s="261"/>
      <c r="H5" s="261"/>
      <c r="I5" s="265">
        <f t="shared" ref="I5:I23" si="0">SUM(F5+H5)</f>
        <v>0</v>
      </c>
    </row>
    <row r="6" spans="1:9" x14ac:dyDescent="0.3">
      <c r="A6" s="383"/>
      <c r="B6" s="385"/>
      <c r="C6" s="380"/>
      <c r="D6" s="266" t="s">
        <v>69</v>
      </c>
      <c r="E6" s="29" t="s">
        <v>71</v>
      </c>
      <c r="F6" s="287"/>
      <c r="G6" s="267"/>
      <c r="H6" s="267"/>
      <c r="I6" s="265">
        <f t="shared" si="0"/>
        <v>0</v>
      </c>
    </row>
    <row r="7" spans="1:9" x14ac:dyDescent="0.3">
      <c r="A7" s="383"/>
      <c r="B7" s="385"/>
      <c r="C7" s="380"/>
      <c r="D7" s="266" t="s">
        <v>72</v>
      </c>
      <c r="E7" s="29" t="s">
        <v>73</v>
      </c>
      <c r="F7" s="287"/>
      <c r="G7" s="267"/>
      <c r="H7" s="267"/>
      <c r="I7" s="265">
        <f t="shared" si="0"/>
        <v>0</v>
      </c>
    </row>
    <row r="8" spans="1:9" x14ac:dyDescent="0.3">
      <c r="A8" s="383"/>
      <c r="B8" s="385"/>
      <c r="C8" s="380"/>
      <c r="D8" s="266" t="s">
        <v>74</v>
      </c>
      <c r="E8" s="29" t="s">
        <v>75</v>
      </c>
      <c r="F8" s="287"/>
      <c r="G8" s="267"/>
      <c r="H8" s="267"/>
      <c r="I8" s="265">
        <f t="shared" si="0"/>
        <v>0</v>
      </c>
    </row>
    <row r="9" spans="1:9" x14ac:dyDescent="0.3">
      <c r="A9" s="383"/>
      <c r="B9" s="385"/>
      <c r="C9" s="380"/>
      <c r="D9" s="266" t="s">
        <v>76</v>
      </c>
      <c r="E9" s="29" t="s">
        <v>75</v>
      </c>
      <c r="F9" s="287"/>
      <c r="G9" s="267"/>
      <c r="H9" s="267"/>
      <c r="I9" s="265">
        <f t="shared" si="0"/>
        <v>0</v>
      </c>
    </row>
    <row r="10" spans="1:9" x14ac:dyDescent="0.3">
      <c r="A10" s="383"/>
      <c r="B10" s="385"/>
      <c r="C10" s="380"/>
      <c r="D10" s="266" t="s">
        <v>77</v>
      </c>
      <c r="E10" s="29" t="s">
        <v>78</v>
      </c>
      <c r="F10" s="287"/>
      <c r="G10" s="267"/>
      <c r="H10" s="267"/>
      <c r="I10" s="265">
        <f t="shared" si="0"/>
        <v>0</v>
      </c>
    </row>
    <row r="11" spans="1:9" x14ac:dyDescent="0.3">
      <c r="A11" s="383"/>
      <c r="B11" s="385"/>
      <c r="C11" s="380"/>
      <c r="D11" s="268" t="s">
        <v>150</v>
      </c>
      <c r="E11" s="269" t="s">
        <v>78</v>
      </c>
      <c r="F11" s="289"/>
      <c r="G11" s="270"/>
      <c r="H11" s="271"/>
      <c r="I11" s="265">
        <f t="shared" si="0"/>
        <v>0</v>
      </c>
    </row>
    <row r="12" spans="1:9" x14ac:dyDescent="0.3">
      <c r="A12" s="383"/>
      <c r="B12" s="385"/>
      <c r="C12" s="272"/>
      <c r="D12" s="268" t="s">
        <v>269</v>
      </c>
      <c r="E12" s="269" t="s">
        <v>78</v>
      </c>
      <c r="F12" s="289"/>
      <c r="G12" s="270"/>
      <c r="H12" s="271"/>
      <c r="I12" s="265">
        <f t="shared" si="0"/>
        <v>0</v>
      </c>
    </row>
    <row r="13" spans="1:9" ht="14.55" customHeight="1" x14ac:dyDescent="0.3">
      <c r="A13" s="383"/>
      <c r="B13" s="385"/>
      <c r="C13" s="379" t="s">
        <v>275</v>
      </c>
      <c r="D13" s="268"/>
      <c r="E13" s="269" t="s">
        <v>79</v>
      </c>
      <c r="F13" s="30">
        <f>SUM(F5:F12)</f>
        <v>0</v>
      </c>
      <c r="G13" s="270"/>
      <c r="H13" s="271"/>
      <c r="I13" s="274"/>
    </row>
    <row r="14" spans="1:9" ht="15.75" customHeight="1" x14ac:dyDescent="0.3">
      <c r="A14" s="383"/>
      <c r="B14" s="385"/>
      <c r="C14" s="380"/>
      <c r="D14" s="256" t="s">
        <v>80</v>
      </c>
      <c r="E14" s="269"/>
      <c r="F14" s="31"/>
      <c r="G14" s="270"/>
      <c r="H14" s="271"/>
      <c r="I14" s="274"/>
    </row>
    <row r="15" spans="1:9" ht="15.75" customHeight="1" x14ac:dyDescent="0.3">
      <c r="A15" s="383"/>
      <c r="B15" s="385"/>
      <c r="C15" s="380"/>
      <c r="D15" s="266" t="s">
        <v>69</v>
      </c>
      <c r="E15" s="29" t="s">
        <v>70</v>
      </c>
      <c r="F15" s="289"/>
      <c r="G15" s="270"/>
      <c r="H15" s="271"/>
      <c r="I15" s="273">
        <f t="shared" si="0"/>
        <v>0</v>
      </c>
    </row>
    <row r="16" spans="1:9" ht="15.75" customHeight="1" x14ac:dyDescent="0.3">
      <c r="A16" s="383"/>
      <c r="B16" s="385"/>
      <c r="C16" s="380"/>
      <c r="D16" s="266" t="s">
        <v>69</v>
      </c>
      <c r="E16" s="269" t="s">
        <v>71</v>
      </c>
      <c r="F16" s="289"/>
      <c r="G16" s="270"/>
      <c r="H16" s="271"/>
      <c r="I16" s="273">
        <f t="shared" si="0"/>
        <v>0</v>
      </c>
    </row>
    <row r="17" spans="1:9" ht="15.75" customHeight="1" x14ac:dyDescent="0.3">
      <c r="A17" s="383"/>
      <c r="B17" s="385"/>
      <c r="C17" s="380"/>
      <c r="D17" s="266" t="s">
        <v>72</v>
      </c>
      <c r="E17" s="29" t="s">
        <v>73</v>
      </c>
      <c r="F17" s="289"/>
      <c r="G17" s="270"/>
      <c r="H17" s="271"/>
      <c r="I17" s="273">
        <f t="shared" si="0"/>
        <v>0</v>
      </c>
    </row>
    <row r="18" spans="1:9" ht="15.75" customHeight="1" x14ac:dyDescent="0.3">
      <c r="A18" s="383"/>
      <c r="B18" s="385"/>
      <c r="C18" s="380"/>
      <c r="D18" s="266" t="s">
        <v>74</v>
      </c>
      <c r="E18" s="29" t="s">
        <v>75</v>
      </c>
      <c r="F18" s="289"/>
      <c r="G18" s="270"/>
      <c r="H18" s="271"/>
      <c r="I18" s="273">
        <f t="shared" si="0"/>
        <v>0</v>
      </c>
    </row>
    <row r="19" spans="1:9" ht="15.75" customHeight="1" x14ac:dyDescent="0.3">
      <c r="A19" s="383"/>
      <c r="B19" s="385"/>
      <c r="C19" s="380"/>
      <c r="D19" s="266" t="s">
        <v>76</v>
      </c>
      <c r="E19" s="29" t="s">
        <v>75</v>
      </c>
      <c r="F19" s="289"/>
      <c r="G19" s="270"/>
      <c r="H19" s="271"/>
      <c r="I19" s="273">
        <f t="shared" si="0"/>
        <v>0</v>
      </c>
    </row>
    <row r="20" spans="1:9" ht="15.75" customHeight="1" x14ac:dyDescent="0.3">
      <c r="A20" s="383"/>
      <c r="B20" s="385"/>
      <c r="C20" s="380"/>
      <c r="D20" s="266" t="s">
        <v>77</v>
      </c>
      <c r="E20" s="29" t="s">
        <v>78</v>
      </c>
      <c r="F20" s="289"/>
      <c r="G20" s="270"/>
      <c r="H20" s="271"/>
      <c r="I20" s="273">
        <f t="shared" si="0"/>
        <v>0</v>
      </c>
    </row>
    <row r="21" spans="1:9" ht="15.75" customHeight="1" x14ac:dyDescent="0.3">
      <c r="A21" s="383"/>
      <c r="B21" s="385"/>
      <c r="C21" s="380"/>
      <c r="D21" s="268" t="s">
        <v>150</v>
      </c>
      <c r="E21" s="269" t="s">
        <v>78</v>
      </c>
      <c r="F21" s="289"/>
      <c r="G21" s="270"/>
      <c r="H21" s="271"/>
      <c r="I21" s="273">
        <f t="shared" si="0"/>
        <v>0</v>
      </c>
    </row>
    <row r="22" spans="1:9" ht="15.75" customHeight="1" x14ac:dyDescent="0.3">
      <c r="A22" s="383"/>
      <c r="B22" s="385"/>
      <c r="C22" s="380"/>
      <c r="D22" s="268" t="s">
        <v>269</v>
      </c>
      <c r="E22" s="269" t="s">
        <v>78</v>
      </c>
      <c r="F22" s="289"/>
      <c r="G22" s="270"/>
      <c r="H22" s="271"/>
      <c r="I22" s="273">
        <f t="shared" si="0"/>
        <v>0</v>
      </c>
    </row>
    <row r="23" spans="1:9" ht="15.75" customHeight="1" x14ac:dyDescent="0.3">
      <c r="A23" s="383"/>
      <c r="B23" s="385"/>
      <c r="C23" s="380"/>
      <c r="D23" s="268" t="s">
        <v>81</v>
      </c>
      <c r="E23" s="29" t="s">
        <v>82</v>
      </c>
      <c r="F23" s="289"/>
      <c r="G23" s="270"/>
      <c r="H23" s="271"/>
      <c r="I23" s="273">
        <f t="shared" si="0"/>
        <v>0</v>
      </c>
    </row>
    <row r="24" spans="1:9" ht="15.75" customHeight="1" thickBot="1" x14ac:dyDescent="0.35">
      <c r="A24" s="383"/>
      <c r="B24" s="385"/>
      <c r="C24" s="380"/>
      <c r="D24" s="268"/>
      <c r="E24" s="269" t="s">
        <v>79</v>
      </c>
      <c r="F24" s="30">
        <f>SUM(F15:F23)</f>
        <v>0</v>
      </c>
      <c r="G24" s="270"/>
      <c r="H24" s="271"/>
      <c r="I24" s="274"/>
    </row>
    <row r="25" spans="1:9" x14ac:dyDescent="0.3">
      <c r="A25" s="383"/>
      <c r="B25" s="385"/>
      <c r="C25" s="380"/>
      <c r="D25" s="268"/>
      <c r="E25" s="269" t="s">
        <v>83</v>
      </c>
      <c r="F25" s="283">
        <f>F13+F24</f>
        <v>0</v>
      </c>
      <c r="G25" s="270"/>
      <c r="H25" s="271"/>
      <c r="I25" s="275">
        <f>SUM(I5:I24)</f>
        <v>0</v>
      </c>
    </row>
    <row r="26" spans="1:9" ht="18" x14ac:dyDescent="0.35">
      <c r="A26" s="383"/>
      <c r="B26" s="385"/>
      <c r="C26" s="309" t="s">
        <v>271</v>
      </c>
      <c r="D26" s="310"/>
      <c r="E26" s="310"/>
      <c r="F26" s="310"/>
      <c r="G26" s="310"/>
      <c r="H26" s="310"/>
      <c r="I26" s="311"/>
    </row>
    <row r="27" spans="1:9" ht="24.6" customHeight="1" x14ac:dyDescent="0.3">
      <c r="A27" s="383"/>
      <c r="B27" s="385"/>
      <c r="C27" s="379" t="s">
        <v>272</v>
      </c>
      <c r="D27" s="276" t="s">
        <v>84</v>
      </c>
      <c r="E27" s="261"/>
      <c r="F27" s="261"/>
      <c r="G27" s="284"/>
      <c r="H27" s="285"/>
      <c r="I27" s="273">
        <f t="shared" ref="I27:I41" si="1">SUM(H27)</f>
        <v>0</v>
      </c>
    </row>
    <row r="28" spans="1:9" x14ac:dyDescent="0.3">
      <c r="A28" s="383"/>
      <c r="B28" s="385"/>
      <c r="C28" s="380"/>
      <c r="D28" s="266" t="s">
        <v>85</v>
      </c>
      <c r="E28" s="267"/>
      <c r="F28" s="267"/>
      <c r="G28" s="286"/>
      <c r="H28" s="287"/>
      <c r="I28" s="273">
        <f t="shared" si="1"/>
        <v>0</v>
      </c>
    </row>
    <row r="29" spans="1:9" x14ac:dyDescent="0.3">
      <c r="A29" s="383"/>
      <c r="B29" s="385"/>
      <c r="C29" s="380"/>
      <c r="D29" s="266" t="s">
        <v>86</v>
      </c>
      <c r="E29" s="267"/>
      <c r="F29" s="267"/>
      <c r="G29" s="286"/>
      <c r="H29" s="287"/>
      <c r="I29" s="273">
        <f t="shared" si="1"/>
        <v>0</v>
      </c>
    </row>
    <row r="30" spans="1:9" x14ac:dyDescent="0.3">
      <c r="A30" s="383"/>
      <c r="B30" s="385"/>
      <c r="C30" s="380"/>
      <c r="D30" s="266" t="s">
        <v>87</v>
      </c>
      <c r="E30" s="267"/>
      <c r="F30" s="267"/>
      <c r="G30" s="286"/>
      <c r="H30" s="287"/>
      <c r="I30" s="273">
        <f t="shared" si="1"/>
        <v>0</v>
      </c>
    </row>
    <row r="31" spans="1:9" ht="15" customHeight="1" x14ac:dyDescent="0.3">
      <c r="A31" s="383"/>
      <c r="B31" s="385"/>
      <c r="C31" s="380"/>
      <c r="D31" s="266" t="s">
        <v>268</v>
      </c>
      <c r="E31" s="267"/>
      <c r="F31" s="267"/>
      <c r="G31" s="286"/>
      <c r="H31" s="287"/>
      <c r="I31" s="273">
        <f t="shared" si="1"/>
        <v>0</v>
      </c>
    </row>
    <row r="32" spans="1:9" x14ac:dyDescent="0.3">
      <c r="A32" s="383"/>
      <c r="B32" s="385"/>
      <c r="C32" s="380"/>
      <c r="D32" s="288"/>
      <c r="E32" s="267"/>
      <c r="F32" s="267"/>
      <c r="G32" s="286"/>
      <c r="H32" s="287"/>
      <c r="I32" s="273">
        <f t="shared" si="1"/>
        <v>0</v>
      </c>
    </row>
    <row r="33" spans="1:9" x14ac:dyDescent="0.3">
      <c r="A33" s="383"/>
      <c r="B33" s="385"/>
      <c r="C33" s="380"/>
      <c r="D33" s="288" t="s">
        <v>51</v>
      </c>
      <c r="E33" s="267"/>
      <c r="F33" s="267"/>
      <c r="G33" s="286"/>
      <c r="H33" s="287"/>
      <c r="I33" s="273">
        <f t="shared" si="1"/>
        <v>0</v>
      </c>
    </row>
    <row r="34" spans="1:9" x14ac:dyDescent="0.3">
      <c r="A34" s="383"/>
      <c r="B34" s="385"/>
      <c r="C34" s="380"/>
      <c r="D34" s="288"/>
      <c r="E34" s="267"/>
      <c r="F34" s="267"/>
      <c r="G34" s="286"/>
      <c r="H34" s="287"/>
      <c r="I34" s="273">
        <f t="shared" si="1"/>
        <v>0</v>
      </c>
    </row>
    <row r="35" spans="1:9" x14ac:dyDescent="0.3">
      <c r="A35" s="383"/>
      <c r="B35" s="385"/>
      <c r="C35" s="380"/>
      <c r="D35" s="288"/>
      <c r="E35" s="267"/>
      <c r="F35" s="267"/>
      <c r="G35" s="286"/>
      <c r="H35" s="287"/>
      <c r="I35" s="273">
        <f t="shared" si="1"/>
        <v>0</v>
      </c>
    </row>
    <row r="36" spans="1:9" x14ac:dyDescent="0.3">
      <c r="A36" s="383"/>
      <c r="B36" s="385"/>
      <c r="C36" s="380"/>
      <c r="D36" s="288"/>
      <c r="E36" s="267"/>
      <c r="F36" s="267"/>
      <c r="G36" s="286"/>
      <c r="H36" s="287"/>
      <c r="I36" s="273">
        <f t="shared" si="1"/>
        <v>0</v>
      </c>
    </row>
    <row r="37" spans="1:9" x14ac:dyDescent="0.3">
      <c r="A37" s="383"/>
      <c r="B37" s="385"/>
      <c r="C37" s="380"/>
      <c r="D37" s="288"/>
      <c r="E37" s="267"/>
      <c r="F37" s="267"/>
      <c r="G37" s="286"/>
      <c r="H37" s="287"/>
      <c r="I37" s="273">
        <f t="shared" si="1"/>
        <v>0</v>
      </c>
    </row>
    <row r="38" spans="1:9" x14ac:dyDescent="0.3">
      <c r="A38" s="383"/>
      <c r="B38" s="385"/>
      <c r="C38" s="380"/>
      <c r="D38" s="288"/>
      <c r="E38" s="267"/>
      <c r="F38" s="267"/>
      <c r="G38" s="286"/>
      <c r="H38" s="287"/>
      <c r="I38" s="273">
        <f t="shared" si="1"/>
        <v>0</v>
      </c>
    </row>
    <row r="39" spans="1:9" x14ac:dyDescent="0.3">
      <c r="A39" s="383"/>
      <c r="B39" s="385"/>
      <c r="C39" s="380"/>
      <c r="D39" s="288"/>
      <c r="E39" s="267"/>
      <c r="F39" s="267"/>
      <c r="G39" s="286"/>
      <c r="H39" s="287"/>
      <c r="I39" s="273">
        <f t="shared" si="1"/>
        <v>0</v>
      </c>
    </row>
    <row r="40" spans="1:9" x14ac:dyDescent="0.3">
      <c r="A40" s="383"/>
      <c r="B40" s="385"/>
      <c r="C40" s="380"/>
      <c r="D40" s="288"/>
      <c r="E40" s="267"/>
      <c r="F40" s="267"/>
      <c r="G40" s="286"/>
      <c r="H40" s="287"/>
      <c r="I40" s="273">
        <f t="shared" si="1"/>
        <v>0</v>
      </c>
    </row>
    <row r="41" spans="1:9" x14ac:dyDescent="0.3">
      <c r="A41" s="383"/>
      <c r="B41" s="385"/>
      <c r="C41" s="380"/>
      <c r="D41" s="288"/>
      <c r="E41" s="267"/>
      <c r="F41" s="267"/>
      <c r="G41" s="286"/>
      <c r="H41" s="287"/>
      <c r="I41" s="273">
        <f t="shared" si="1"/>
        <v>0</v>
      </c>
    </row>
    <row r="42" spans="1:9" ht="15" thickBot="1" x14ac:dyDescent="0.35">
      <c r="A42" s="383"/>
      <c r="B42" s="385"/>
      <c r="C42" s="380"/>
      <c r="D42" s="266"/>
      <c r="E42" s="267"/>
      <c r="F42" s="267"/>
      <c r="G42" s="277"/>
      <c r="H42" s="32" t="s">
        <v>88</v>
      </c>
      <c r="I42" s="273">
        <f>SUM(I27:I41)</f>
        <v>0</v>
      </c>
    </row>
    <row r="43" spans="1:9" ht="15" thickBot="1" x14ac:dyDescent="0.35">
      <c r="A43" s="383"/>
      <c r="B43" s="386"/>
      <c r="C43" s="381"/>
      <c r="D43" s="278" t="s">
        <v>51</v>
      </c>
      <c r="E43" s="279"/>
      <c r="F43" s="279"/>
      <c r="G43" s="280"/>
      <c r="H43" s="281" t="s">
        <v>89</v>
      </c>
      <c r="I43" s="282">
        <f>I42+I25</f>
        <v>0</v>
      </c>
    </row>
  </sheetData>
  <sheetProtection algorithmName="SHA-512" hashValue="mre1qpxOQBiFM450Zd0N6SkUjCyAZdPe+mRfB+0GW7eGaCgqDESuil6p6nae6j6102FcOtgGz11yOIQIEoX+Dw==" saltValue="5IBOAf2qVkn+1CgG3vSeyA==" spinCount="100000" sheet="1" objects="1" scenarios="1"/>
  <mergeCells count="6">
    <mergeCell ref="C3:I3"/>
    <mergeCell ref="C13:C25"/>
    <mergeCell ref="C27:C43"/>
    <mergeCell ref="A4:A43"/>
    <mergeCell ref="B4:B43"/>
    <mergeCell ref="C4:C11"/>
  </mergeCells>
  <pageMargins left="0.7" right="0.7" top="1.4583333333333299" bottom="0.75" header="0.3" footer="0.3"/>
  <pageSetup scale="41" orientation="portrait" r:id="rId1"/>
  <headerFooter>
    <oddHeader>&amp;C&amp;8&amp;G&amp;11
&amp;D &amp;F
&amp;16 &amp;A</oddHeader>
    <oddFooter>&amp;CAzAHEC
&amp;D &amp;F
 &amp;A</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5376D-72A4-4F9E-ACEF-5D9369BD9682}">
  <sheetPr codeName="Sheet6">
    <tabColor theme="7"/>
    <pageSetUpPr fitToPage="1"/>
  </sheetPr>
  <dimension ref="A2:K26"/>
  <sheetViews>
    <sheetView view="pageLayout" topLeftCell="C2" zoomScaleNormal="70" workbookViewId="0">
      <selection activeCell="I24" sqref="I24"/>
    </sheetView>
  </sheetViews>
  <sheetFormatPr defaultColWidth="8.77734375" defaultRowHeight="14.4" x14ac:dyDescent="0.3"/>
  <cols>
    <col min="1" max="1" width="34" customWidth="1"/>
    <col min="2" max="2" width="39.44140625" customWidth="1"/>
    <col min="3" max="3" width="10.21875" customWidth="1"/>
    <col min="4" max="4" width="19.44140625" customWidth="1"/>
    <col min="5" max="10" width="21.77734375" customWidth="1"/>
    <col min="11" max="11" width="21.44140625" customWidth="1"/>
  </cols>
  <sheetData>
    <row r="2" spans="1:11" s="38" customFormat="1" ht="92.25" customHeight="1" x14ac:dyDescent="0.3">
      <c r="A2" s="33" t="s">
        <v>33</v>
      </c>
      <c r="B2" s="33" t="s">
        <v>62</v>
      </c>
      <c r="C2" s="34" t="s">
        <v>90</v>
      </c>
      <c r="D2" s="35" t="s">
        <v>189</v>
      </c>
      <c r="E2" s="36" t="s">
        <v>190</v>
      </c>
      <c r="F2" s="36" t="s">
        <v>91</v>
      </c>
      <c r="G2" s="36" t="s">
        <v>92</v>
      </c>
      <c r="H2" s="36" t="s">
        <v>93</v>
      </c>
      <c r="I2" s="158" t="s">
        <v>284</v>
      </c>
      <c r="J2" s="158" t="s">
        <v>188</v>
      </c>
      <c r="K2" s="37" t="s">
        <v>94</v>
      </c>
    </row>
    <row r="3" spans="1:11" ht="15" customHeight="1" x14ac:dyDescent="0.3">
      <c r="A3" s="387" t="s">
        <v>240</v>
      </c>
      <c r="B3" s="388" t="s">
        <v>251</v>
      </c>
      <c r="C3" s="39">
        <v>1</v>
      </c>
      <c r="D3" s="40">
        <v>120</v>
      </c>
      <c r="E3" s="40">
        <f>SUM(D3*145)</f>
        <v>17400</v>
      </c>
      <c r="F3" s="41"/>
      <c r="G3" s="41"/>
      <c r="H3" s="41"/>
      <c r="I3" s="41"/>
      <c r="J3" s="41"/>
      <c r="K3" s="42">
        <f>'CBET SCHEDULE'!I43</f>
        <v>0</v>
      </c>
    </row>
    <row r="4" spans="1:11" x14ac:dyDescent="0.3">
      <c r="A4" s="387"/>
      <c r="B4" s="389"/>
      <c r="C4" s="29">
        <v>0.9</v>
      </c>
      <c r="D4" s="23">
        <v>108</v>
      </c>
      <c r="E4" s="23">
        <f t="shared" ref="E4:E8" si="0">SUM(D4*145)</f>
        <v>15660</v>
      </c>
      <c r="F4" s="43"/>
      <c r="G4" s="43"/>
      <c r="H4" s="43"/>
      <c r="I4" s="44"/>
      <c r="J4" s="44"/>
      <c r="K4" s="44"/>
    </row>
    <row r="5" spans="1:11" x14ac:dyDescent="0.3">
      <c r="A5" s="387"/>
      <c r="B5" s="389"/>
      <c r="C5" s="29">
        <v>0.8</v>
      </c>
      <c r="D5" s="23">
        <v>96</v>
      </c>
      <c r="E5" s="23">
        <f t="shared" si="0"/>
        <v>13920</v>
      </c>
      <c r="F5" s="43"/>
      <c r="G5" s="43"/>
      <c r="H5" s="43"/>
      <c r="I5" s="44"/>
      <c r="J5" s="44"/>
      <c r="K5" s="44"/>
    </row>
    <row r="6" spans="1:11" x14ac:dyDescent="0.3">
      <c r="A6" s="387"/>
      <c r="B6" s="389"/>
      <c r="C6" s="29">
        <v>0.7</v>
      </c>
      <c r="D6" s="23">
        <v>84</v>
      </c>
      <c r="E6" s="23">
        <f t="shared" si="0"/>
        <v>12180</v>
      </c>
      <c r="F6" s="43"/>
      <c r="G6" s="43"/>
      <c r="H6" s="43"/>
      <c r="I6" s="44"/>
      <c r="J6" s="44"/>
      <c r="K6" s="44"/>
    </row>
    <row r="7" spans="1:11" x14ac:dyDescent="0.3">
      <c r="A7" s="387"/>
      <c r="B7" s="389"/>
      <c r="C7" s="29">
        <v>0.6</v>
      </c>
      <c r="D7" s="23">
        <v>72</v>
      </c>
      <c r="E7" s="23">
        <f t="shared" si="0"/>
        <v>10440</v>
      </c>
      <c r="F7" s="43"/>
      <c r="G7" s="43"/>
      <c r="H7" s="43"/>
      <c r="I7" s="44"/>
      <c r="J7" s="44"/>
      <c r="K7" s="44"/>
    </row>
    <row r="8" spans="1:11" ht="68.25" customHeight="1" thickBot="1" x14ac:dyDescent="0.35">
      <c r="A8" s="387"/>
      <c r="B8" s="389"/>
      <c r="C8" s="29">
        <v>0.5</v>
      </c>
      <c r="D8" s="23">
        <v>60</v>
      </c>
      <c r="E8" s="23">
        <f t="shared" si="0"/>
        <v>8700</v>
      </c>
      <c r="F8" s="43"/>
      <c r="G8" s="43"/>
      <c r="H8" s="43"/>
      <c r="I8" s="45"/>
      <c r="J8" s="45"/>
      <c r="K8" s="44"/>
    </row>
    <row r="9" spans="1:11" ht="33" customHeight="1" x14ac:dyDescent="0.3">
      <c r="A9" s="396" t="s">
        <v>239</v>
      </c>
      <c r="B9" s="389"/>
      <c r="C9" s="29">
        <v>1.5</v>
      </c>
      <c r="D9" s="209" t="s">
        <v>223</v>
      </c>
      <c r="E9" s="46"/>
      <c r="F9" s="43"/>
      <c r="G9" s="43"/>
      <c r="H9" s="43"/>
      <c r="I9" s="43"/>
      <c r="J9" s="290"/>
      <c r="K9" s="46"/>
    </row>
    <row r="10" spans="1:11" ht="33" customHeight="1" x14ac:dyDescent="0.3">
      <c r="A10" s="397"/>
      <c r="B10" s="389"/>
      <c r="C10" s="29">
        <v>1</v>
      </c>
      <c r="D10" s="209" t="s">
        <v>224</v>
      </c>
      <c r="E10" s="46"/>
      <c r="F10" s="43"/>
      <c r="G10" s="43"/>
      <c r="H10" s="43"/>
      <c r="I10" s="44"/>
      <c r="J10" s="44"/>
      <c r="K10" s="44"/>
    </row>
    <row r="11" spans="1:11" ht="33" customHeight="1" x14ac:dyDescent="0.3">
      <c r="A11" s="397"/>
      <c r="B11" s="389"/>
      <c r="C11" s="29">
        <v>0.5</v>
      </c>
      <c r="D11" s="209" t="s">
        <v>225</v>
      </c>
      <c r="E11" s="46"/>
      <c r="F11" s="43"/>
      <c r="G11" s="43"/>
      <c r="H11" s="43"/>
      <c r="I11" s="44"/>
      <c r="J11" s="44"/>
      <c r="K11" s="44"/>
    </row>
    <row r="12" spans="1:11" ht="33" customHeight="1" thickBot="1" x14ac:dyDescent="0.35">
      <c r="A12" s="398"/>
      <c r="B12" s="389"/>
      <c r="C12" s="29">
        <v>0</v>
      </c>
      <c r="D12" s="209" t="s">
        <v>226</v>
      </c>
      <c r="E12" s="46"/>
      <c r="F12" s="43"/>
      <c r="G12" s="43"/>
      <c r="H12" s="43"/>
      <c r="I12" s="44"/>
      <c r="J12" s="44"/>
      <c r="K12" s="44"/>
    </row>
    <row r="13" spans="1:11" ht="15" customHeight="1" x14ac:dyDescent="0.3">
      <c r="A13" s="390" t="s">
        <v>241</v>
      </c>
      <c r="B13" s="393" t="s">
        <v>252</v>
      </c>
      <c r="C13" s="29">
        <v>1</v>
      </c>
      <c r="D13" s="23">
        <v>120</v>
      </c>
      <c r="E13" s="46"/>
      <c r="F13" s="291"/>
      <c r="G13" s="291"/>
      <c r="H13" s="47"/>
      <c r="I13" s="159"/>
      <c r="J13" s="159"/>
      <c r="K13" s="163">
        <f>F13</f>
        <v>0</v>
      </c>
    </row>
    <row r="14" spans="1:11" x14ac:dyDescent="0.3">
      <c r="A14" s="391"/>
      <c r="B14" s="393"/>
      <c r="C14" s="29">
        <v>0.9</v>
      </c>
      <c r="D14" s="23">
        <v>108</v>
      </c>
      <c r="E14" s="46"/>
      <c r="F14" s="48"/>
      <c r="G14" s="48"/>
      <c r="H14" s="47"/>
      <c r="I14" s="159"/>
      <c r="J14" s="159"/>
      <c r="K14" s="44"/>
    </row>
    <row r="15" spans="1:11" x14ac:dyDescent="0.3">
      <c r="A15" s="391"/>
      <c r="B15" s="393"/>
      <c r="C15" s="29">
        <v>0.8</v>
      </c>
      <c r="D15" s="23">
        <v>96</v>
      </c>
      <c r="E15" s="46"/>
      <c r="F15" s="48"/>
      <c r="G15" s="48"/>
      <c r="H15" s="47"/>
      <c r="I15" s="159"/>
      <c r="J15" s="159"/>
      <c r="K15" s="44"/>
    </row>
    <row r="16" spans="1:11" x14ac:dyDescent="0.3">
      <c r="A16" s="391"/>
      <c r="B16" s="393"/>
      <c r="C16" s="29">
        <v>0.7</v>
      </c>
      <c r="D16" s="23">
        <v>84</v>
      </c>
      <c r="E16" s="46"/>
      <c r="F16" s="48"/>
      <c r="G16" s="48"/>
      <c r="H16" s="47"/>
      <c r="I16" s="159"/>
      <c r="J16" s="159"/>
      <c r="K16" s="44"/>
    </row>
    <row r="17" spans="1:11" ht="87" customHeight="1" x14ac:dyDescent="0.3">
      <c r="A17" s="391"/>
      <c r="B17" s="393"/>
      <c r="C17" s="29">
        <v>0.6</v>
      </c>
      <c r="D17" s="23">
        <v>72</v>
      </c>
      <c r="E17" s="46"/>
      <c r="F17" s="48"/>
      <c r="G17" s="48"/>
      <c r="H17" s="47"/>
      <c r="I17" s="159"/>
      <c r="J17" s="159"/>
      <c r="K17" s="44"/>
    </row>
    <row r="18" spans="1:11" ht="45.75" customHeight="1" thickBot="1" x14ac:dyDescent="0.35">
      <c r="A18" s="392"/>
      <c r="B18" s="394"/>
      <c r="C18" s="29">
        <v>0.5</v>
      </c>
      <c r="D18" s="23">
        <v>60</v>
      </c>
      <c r="E18" s="46"/>
      <c r="F18" s="48"/>
      <c r="G18" s="48"/>
      <c r="H18" s="47"/>
      <c r="I18" s="160"/>
      <c r="J18" s="160"/>
      <c r="K18" s="45"/>
    </row>
    <row r="19" spans="1:11" ht="22.5" customHeight="1" x14ac:dyDescent="0.3">
      <c r="A19" s="390" t="s">
        <v>242</v>
      </c>
      <c r="B19" s="395" t="s">
        <v>278</v>
      </c>
      <c r="C19" s="29">
        <v>1</v>
      </c>
      <c r="D19" s="23">
        <v>300</v>
      </c>
      <c r="E19" s="46"/>
      <c r="F19" s="46"/>
      <c r="G19" s="46"/>
      <c r="H19" s="290"/>
      <c r="I19" s="290"/>
      <c r="J19" s="161" t="s">
        <v>51</v>
      </c>
      <c r="K19" s="163">
        <f>H19</f>
        <v>0</v>
      </c>
    </row>
    <row r="20" spans="1:11" x14ac:dyDescent="0.3">
      <c r="A20" s="391"/>
      <c r="B20" s="393"/>
      <c r="C20" s="29">
        <v>0.9</v>
      </c>
      <c r="D20" s="23">
        <v>270</v>
      </c>
      <c r="E20" s="46"/>
      <c r="F20" s="46"/>
      <c r="G20" s="46"/>
      <c r="H20" s="46"/>
      <c r="I20" s="161"/>
      <c r="J20" s="161"/>
      <c r="K20" s="44"/>
    </row>
    <row r="21" spans="1:11" x14ac:dyDescent="0.3">
      <c r="A21" s="391"/>
      <c r="B21" s="393"/>
      <c r="C21" s="29">
        <v>0.8</v>
      </c>
      <c r="D21" s="23">
        <v>240</v>
      </c>
      <c r="E21" s="46"/>
      <c r="F21" s="46"/>
      <c r="G21" s="46"/>
      <c r="H21" s="46"/>
      <c r="I21" s="161"/>
      <c r="J21" s="161"/>
      <c r="K21" s="44"/>
    </row>
    <row r="22" spans="1:11" x14ac:dyDescent="0.3">
      <c r="A22" s="391"/>
      <c r="B22" s="393"/>
      <c r="C22" s="29">
        <v>0.7</v>
      </c>
      <c r="D22" s="23">
        <v>210</v>
      </c>
      <c r="E22" s="46"/>
      <c r="F22" s="46"/>
      <c r="G22" s="46"/>
      <c r="H22" s="46"/>
      <c r="I22" s="161"/>
      <c r="J22" s="161"/>
      <c r="K22" s="44"/>
    </row>
    <row r="23" spans="1:11" ht="12" customHeight="1" x14ac:dyDescent="0.3">
      <c r="A23" s="391"/>
      <c r="B23" s="393"/>
      <c r="C23" s="29">
        <v>0.6</v>
      </c>
      <c r="D23" s="23">
        <v>180</v>
      </c>
      <c r="E23" s="46"/>
      <c r="F23" s="46"/>
      <c r="G23" s="46"/>
      <c r="H23" s="46"/>
      <c r="I23" s="161"/>
      <c r="J23" s="161"/>
      <c r="K23" s="44"/>
    </row>
    <row r="24" spans="1:11" ht="100.2" customHeight="1" thickBot="1" x14ac:dyDescent="0.35">
      <c r="A24" s="392"/>
      <c r="B24" s="394"/>
      <c r="C24" s="29">
        <v>0.5</v>
      </c>
      <c r="D24" s="23">
        <v>150</v>
      </c>
      <c r="E24" s="46"/>
      <c r="F24" s="46"/>
      <c r="G24" s="46"/>
      <c r="H24" s="46"/>
      <c r="I24" s="162"/>
      <c r="J24" s="162"/>
      <c r="K24" s="45"/>
    </row>
    <row r="25" spans="1:11" x14ac:dyDescent="0.3">
      <c r="C25" s="49" t="s">
        <v>51</v>
      </c>
    </row>
    <row r="26" spans="1:11" x14ac:dyDescent="0.3">
      <c r="A26" s="28"/>
    </row>
  </sheetData>
  <sheetProtection algorithmName="SHA-512" hashValue="1ugA/j8+cGYVX44yJJvqA/qMHzb4YFskmf5K4hR1OnZBssaOi8tpY5eYxpG9R5EVewhO5g4I6+0LxLLNw6Qq/g==" saltValue="6OSxfeo3nbC2WpmzFgIxpg==" spinCount="100000" sheet="1" objects="1" scenarios="1"/>
  <mergeCells count="8">
    <mergeCell ref="A3:A8"/>
    <mergeCell ref="B3:B8"/>
    <mergeCell ref="A13:A18"/>
    <mergeCell ref="B13:B18"/>
    <mergeCell ref="A19:A24"/>
    <mergeCell ref="B19:B24"/>
    <mergeCell ref="A9:A12"/>
    <mergeCell ref="B9:B12"/>
  </mergeCells>
  <pageMargins left="0.7" right="0.7" top="1.4583333333333299" bottom="0.75" header="0.3" footer="0.3"/>
  <pageSetup scale="35" orientation="portrait" r:id="rId1"/>
  <headerFooter>
    <oddHeader>&amp;C&amp;8&amp;G&amp;11
&amp;D &amp;F
&amp;16 &amp;A</oddHeader>
    <oddFooter>&amp;CAzAHEC
&amp;D &amp;F
 &amp;A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B7C48-E48F-411E-86DC-723CC7E0BF32}">
  <sheetPr codeName="Sheet7">
    <tabColor theme="7"/>
    <pageSetUpPr fitToPage="1"/>
  </sheetPr>
  <dimension ref="A1:J31"/>
  <sheetViews>
    <sheetView view="pageLayout" topLeftCell="A9" zoomScale="90" zoomScaleNormal="70" zoomScalePageLayoutView="90" workbookViewId="0">
      <selection activeCell="C21" sqref="C21:C22"/>
    </sheetView>
  </sheetViews>
  <sheetFormatPr defaultColWidth="8.77734375" defaultRowHeight="14.4" x14ac:dyDescent="0.3"/>
  <cols>
    <col min="1" max="1" width="34" customWidth="1"/>
    <col min="2" max="2" width="23.77734375" customWidth="1"/>
    <col min="3" max="3" width="38.44140625" customWidth="1"/>
    <col min="4" max="4" width="46" customWidth="1"/>
    <col min="5" max="5" width="42.77734375" customWidth="1"/>
    <col min="6" max="6" width="27" customWidth="1"/>
    <col min="7" max="7" width="19.21875" customWidth="1"/>
  </cols>
  <sheetData>
    <row r="1" spans="1:10" ht="76.5" customHeight="1" thickBot="1" x14ac:dyDescent="0.35">
      <c r="A1" s="399" t="s">
        <v>227</v>
      </c>
      <c r="B1" s="400"/>
      <c r="C1" s="401"/>
      <c r="D1" s="401"/>
      <c r="E1" s="401"/>
      <c r="F1" s="401"/>
      <c r="G1" s="401"/>
      <c r="H1" s="401"/>
      <c r="I1" s="401"/>
      <c r="J1" s="401"/>
    </row>
    <row r="2" spans="1:10" ht="27" thickBot="1" x14ac:dyDescent="0.35">
      <c r="A2" s="14" t="s">
        <v>33</v>
      </c>
      <c r="B2" s="15" t="s">
        <v>34</v>
      </c>
      <c r="C2" s="50" t="s">
        <v>95</v>
      </c>
      <c r="D2" s="16" t="s">
        <v>280</v>
      </c>
      <c r="E2" s="16" t="s">
        <v>221</v>
      </c>
      <c r="F2" s="16" t="s">
        <v>98</v>
      </c>
      <c r="G2" s="51"/>
    </row>
    <row r="3" spans="1:10" ht="134.25" customHeight="1" x14ac:dyDescent="0.3">
      <c r="A3" s="396" t="s">
        <v>220</v>
      </c>
      <c r="B3" s="19" t="s">
        <v>38</v>
      </c>
      <c r="C3" s="402"/>
      <c r="D3" s="405"/>
      <c r="E3" s="405"/>
      <c r="F3" s="408"/>
      <c r="G3" s="411"/>
    </row>
    <row r="4" spans="1:10" ht="26.4" x14ac:dyDescent="0.3">
      <c r="A4" s="397"/>
      <c r="B4" s="19" t="s">
        <v>40</v>
      </c>
      <c r="C4" s="403"/>
      <c r="D4" s="406"/>
      <c r="E4" s="406"/>
      <c r="F4" s="409"/>
      <c r="G4" s="412"/>
      <c r="H4" s="358"/>
    </row>
    <row r="5" spans="1:10" ht="102" customHeight="1" thickBot="1" x14ac:dyDescent="0.35">
      <c r="A5" s="398"/>
      <c r="B5" s="52" t="s">
        <v>42</v>
      </c>
      <c r="C5" s="404"/>
      <c r="D5" s="407"/>
      <c r="E5" s="407"/>
      <c r="F5" s="410"/>
      <c r="G5" s="413"/>
    </row>
    <row r="6" spans="1:10" ht="39.6" x14ac:dyDescent="0.3">
      <c r="A6" s="414" t="s">
        <v>217</v>
      </c>
      <c r="B6" s="17" t="s">
        <v>44</v>
      </c>
      <c r="C6" s="417"/>
      <c r="D6" s="420"/>
      <c r="E6" s="423" t="s">
        <v>51</v>
      </c>
      <c r="F6" s="426"/>
      <c r="G6" s="429"/>
    </row>
    <row r="7" spans="1:10" ht="39.6" x14ac:dyDescent="0.3">
      <c r="A7" s="415"/>
      <c r="B7" s="17" t="s">
        <v>46</v>
      </c>
      <c r="C7" s="418"/>
      <c r="D7" s="421"/>
      <c r="E7" s="424"/>
      <c r="F7" s="427"/>
      <c r="G7" s="430"/>
    </row>
    <row r="8" spans="1:10" ht="107.55" customHeight="1" x14ac:dyDescent="0.3">
      <c r="A8" s="415"/>
      <c r="B8" s="20"/>
      <c r="C8" s="418"/>
      <c r="D8" s="421"/>
      <c r="E8" s="424"/>
      <c r="F8" s="427"/>
      <c r="G8" s="430"/>
    </row>
    <row r="9" spans="1:10" ht="85.05" customHeight="1" thickBot="1" x14ac:dyDescent="0.35">
      <c r="A9" s="416"/>
      <c r="B9" s="21"/>
      <c r="C9" s="419"/>
      <c r="D9" s="422"/>
      <c r="E9" s="425"/>
      <c r="F9" s="428"/>
      <c r="G9" s="431"/>
    </row>
    <row r="10" spans="1:10" ht="52.8" x14ac:dyDescent="0.3">
      <c r="A10" s="414" t="s">
        <v>151</v>
      </c>
      <c r="B10" s="17" t="s">
        <v>47</v>
      </c>
      <c r="C10" s="417"/>
      <c r="D10" s="432"/>
      <c r="E10" s="432" t="s">
        <v>51</v>
      </c>
      <c r="F10" s="426" t="s">
        <v>51</v>
      </c>
      <c r="G10" s="411"/>
    </row>
    <row r="11" spans="1:10" ht="105.6" x14ac:dyDescent="0.3">
      <c r="A11" s="415"/>
      <c r="B11" s="17" t="s">
        <v>49</v>
      </c>
      <c r="C11" s="418"/>
      <c r="D11" s="433"/>
      <c r="E11" s="433"/>
      <c r="F11" s="427"/>
      <c r="G11" s="412"/>
    </row>
    <row r="12" spans="1:10" ht="15" thickBot="1" x14ac:dyDescent="0.35">
      <c r="A12" s="415"/>
      <c r="B12" s="17"/>
      <c r="C12" s="419"/>
      <c r="D12" s="434"/>
      <c r="E12" s="434"/>
      <c r="F12" s="428"/>
      <c r="G12" s="413"/>
    </row>
    <row r="13" spans="1:10" ht="25.5" customHeight="1" thickBot="1" x14ac:dyDescent="0.35">
      <c r="A13" s="435" t="s">
        <v>52</v>
      </c>
      <c r="B13" s="436"/>
      <c r="C13" s="437"/>
      <c r="D13" s="437"/>
      <c r="E13" s="437"/>
      <c r="F13" s="437"/>
    </row>
    <row r="14" spans="1:10" ht="27" thickBot="1" x14ac:dyDescent="0.35">
      <c r="A14" s="14" t="s">
        <v>33</v>
      </c>
      <c r="B14" s="15" t="s">
        <v>34</v>
      </c>
      <c r="C14" s="50" t="s">
        <v>95</v>
      </c>
      <c r="D14" s="16" t="s">
        <v>96</v>
      </c>
      <c r="E14" s="16" t="s">
        <v>97</v>
      </c>
      <c r="F14" s="16" t="s">
        <v>98</v>
      </c>
      <c r="G14" s="51"/>
    </row>
    <row r="15" spans="1:10" ht="105.6" x14ac:dyDescent="0.3">
      <c r="A15" s="414" t="s">
        <v>219</v>
      </c>
      <c r="B15" s="17" t="s">
        <v>282</v>
      </c>
      <c r="C15" s="438"/>
      <c r="D15" s="440"/>
      <c r="E15" s="405" t="s">
        <v>51</v>
      </c>
      <c r="F15" s="441" t="s">
        <v>51</v>
      </c>
      <c r="G15" s="23"/>
    </row>
    <row r="16" spans="1:10" x14ac:dyDescent="0.3">
      <c r="A16" s="415"/>
      <c r="B16" s="17"/>
      <c r="C16" s="439"/>
      <c r="D16" s="433"/>
      <c r="E16" s="406"/>
      <c r="F16" s="427"/>
    </row>
    <row r="17" spans="1:7" x14ac:dyDescent="0.3">
      <c r="A17" s="415"/>
      <c r="B17" s="20"/>
      <c r="C17" s="439"/>
      <c r="D17" s="433"/>
      <c r="E17" s="406"/>
      <c r="F17" s="427"/>
    </row>
    <row r="18" spans="1:7" ht="124.05" customHeight="1" thickBot="1" x14ac:dyDescent="0.35">
      <c r="A18" s="416"/>
      <c r="B18" s="21"/>
      <c r="C18" s="439"/>
      <c r="D18" s="433"/>
      <c r="E18" s="406"/>
      <c r="F18" s="427"/>
    </row>
    <row r="19" spans="1:7" ht="50.1" customHeight="1" thickBot="1" x14ac:dyDescent="0.35">
      <c r="A19" s="399" t="s">
        <v>53</v>
      </c>
      <c r="B19" s="400"/>
      <c r="C19" s="442"/>
      <c r="D19" s="442"/>
      <c r="E19" s="442"/>
      <c r="F19" s="442"/>
    </row>
    <row r="20" spans="1:7" ht="27" thickBot="1" x14ac:dyDescent="0.35">
      <c r="A20" s="14" t="s">
        <v>33</v>
      </c>
      <c r="B20" s="15" t="s">
        <v>34</v>
      </c>
      <c r="C20" s="50" t="s">
        <v>95</v>
      </c>
      <c r="D20" s="16" t="s">
        <v>96</v>
      </c>
      <c r="E20" s="16" t="s">
        <v>97</v>
      </c>
      <c r="F20" s="16" t="s">
        <v>98</v>
      </c>
      <c r="G20" s="51" t="s">
        <v>99</v>
      </c>
    </row>
    <row r="21" spans="1:7" ht="158.4" x14ac:dyDescent="0.3">
      <c r="A21" s="414" t="s">
        <v>218</v>
      </c>
      <c r="B21" s="17" t="s">
        <v>281</v>
      </c>
      <c r="C21" s="443"/>
      <c r="D21" s="440"/>
      <c r="E21" s="440" t="s">
        <v>51</v>
      </c>
      <c r="F21" s="440"/>
      <c r="G21" s="445"/>
    </row>
    <row r="22" spans="1:7" ht="33.75" customHeight="1" thickBot="1" x14ac:dyDescent="0.35">
      <c r="A22" s="415"/>
      <c r="B22" s="17"/>
      <c r="C22" s="444"/>
      <c r="D22" s="433"/>
      <c r="E22" s="433"/>
      <c r="F22" s="433"/>
      <c r="G22" s="445"/>
    </row>
    <row r="23" spans="1:7" ht="25.5" customHeight="1" thickBot="1" x14ac:dyDescent="0.35">
      <c r="A23" s="399" t="s">
        <v>55</v>
      </c>
      <c r="B23" s="400"/>
      <c r="C23" s="442"/>
      <c r="D23" s="442"/>
      <c r="E23" s="442"/>
      <c r="F23" s="442"/>
    </row>
    <row r="24" spans="1:7" ht="27" thickBot="1" x14ac:dyDescent="0.35">
      <c r="A24" s="14" t="s">
        <v>33</v>
      </c>
      <c r="B24" s="15" t="s">
        <v>34</v>
      </c>
      <c r="C24" s="50" t="s">
        <v>95</v>
      </c>
      <c r="D24" s="16" t="s">
        <v>96</v>
      </c>
      <c r="E24" s="16" t="s">
        <v>97</v>
      </c>
      <c r="F24" s="16" t="s">
        <v>100</v>
      </c>
    </row>
    <row r="25" spans="1:7" ht="52.8" x14ac:dyDescent="0.3">
      <c r="A25" s="414" t="s">
        <v>56</v>
      </c>
      <c r="B25" s="17" t="s">
        <v>57</v>
      </c>
      <c r="C25" s="446" t="s">
        <v>51</v>
      </c>
      <c r="D25" s="440" t="s">
        <v>51</v>
      </c>
      <c r="E25" s="440" t="s">
        <v>253</v>
      </c>
      <c r="F25" s="441" t="s">
        <v>51</v>
      </c>
    </row>
    <row r="26" spans="1:7" ht="126" customHeight="1" thickBot="1" x14ac:dyDescent="0.35">
      <c r="A26" s="416"/>
      <c r="B26" s="22" t="s">
        <v>59</v>
      </c>
      <c r="C26" s="419"/>
      <c r="D26" s="434"/>
      <c r="E26" s="434"/>
      <c r="F26" s="428"/>
    </row>
    <row r="27" spans="1:7" ht="37.200000000000003" customHeight="1" thickBot="1" x14ac:dyDescent="0.35">
      <c r="A27" s="399" t="s">
        <v>60</v>
      </c>
      <c r="B27" s="400"/>
      <c r="C27" s="442"/>
      <c r="D27" s="442"/>
      <c r="E27" s="442"/>
      <c r="F27" s="442"/>
    </row>
    <row r="28" spans="1:7" ht="27" thickBot="1" x14ac:dyDescent="0.35">
      <c r="A28" s="14" t="s">
        <v>33</v>
      </c>
      <c r="B28" s="15" t="s">
        <v>34</v>
      </c>
      <c r="C28" s="50" t="s">
        <v>95</v>
      </c>
      <c r="D28" s="16" t="s">
        <v>96</v>
      </c>
      <c r="E28" s="16" t="s">
        <v>97</v>
      </c>
      <c r="F28" s="16" t="s">
        <v>100</v>
      </c>
    </row>
    <row r="29" spans="1:7" ht="90.75" customHeight="1" x14ac:dyDescent="0.3">
      <c r="A29" s="414" t="s">
        <v>152</v>
      </c>
      <c r="B29" s="157" t="s">
        <v>153</v>
      </c>
      <c r="C29" s="446"/>
      <c r="D29" s="440" t="s">
        <v>51</v>
      </c>
      <c r="E29" s="440" t="s">
        <v>51</v>
      </c>
      <c r="F29" s="441" t="s">
        <v>51</v>
      </c>
    </row>
    <row r="30" spans="1:7" ht="26.4" x14ac:dyDescent="0.3">
      <c r="A30" s="415"/>
      <c r="B30" s="17" t="s">
        <v>61</v>
      </c>
      <c r="C30" s="418"/>
      <c r="D30" s="433"/>
      <c r="E30" s="433"/>
      <c r="F30" s="427"/>
    </row>
    <row r="31" spans="1:7" ht="15" thickBot="1" x14ac:dyDescent="0.35">
      <c r="A31" s="416"/>
      <c r="B31" s="21"/>
      <c r="C31" s="419"/>
      <c r="D31" s="434"/>
      <c r="E31" s="434"/>
      <c r="F31" s="428"/>
    </row>
  </sheetData>
  <sheetProtection algorithmName="SHA-512" hashValue="eul16JfE2ig8Hv2rFVjNGfaQPmCJRWjbI1zlSe69hosdfEJ0ZwWQ+PfE0CqVHE0jcpXfqkdiGBRQVsba0CXcpw==" saltValue="zBvH4V0jZzb5Q1hy91SaYw==" spinCount="100000" sheet="1" objects="1" scenarios="1"/>
  <mergeCells count="50">
    <mergeCell ref="A27:B27"/>
    <mergeCell ref="C27:F27"/>
    <mergeCell ref="A29:A31"/>
    <mergeCell ref="C29:C31"/>
    <mergeCell ref="D29:D31"/>
    <mergeCell ref="E29:E31"/>
    <mergeCell ref="F29:F31"/>
    <mergeCell ref="G21:G22"/>
    <mergeCell ref="A23:B23"/>
    <mergeCell ref="C23:F23"/>
    <mergeCell ref="A25:A26"/>
    <mergeCell ref="C25:C26"/>
    <mergeCell ref="D25:D26"/>
    <mergeCell ref="E25:E26"/>
    <mergeCell ref="F25:F26"/>
    <mergeCell ref="A19:B19"/>
    <mergeCell ref="C19:F19"/>
    <mergeCell ref="A21:A22"/>
    <mergeCell ref="C21:C22"/>
    <mergeCell ref="D21:D22"/>
    <mergeCell ref="E21:E22"/>
    <mergeCell ref="F21:F22"/>
    <mergeCell ref="A13:B13"/>
    <mergeCell ref="C13:F13"/>
    <mergeCell ref="A15:A18"/>
    <mergeCell ref="C15:C18"/>
    <mergeCell ref="D15:D18"/>
    <mergeCell ref="E15:E18"/>
    <mergeCell ref="F15:F18"/>
    <mergeCell ref="G10:G12"/>
    <mergeCell ref="A6:A9"/>
    <mergeCell ref="C6:C9"/>
    <mergeCell ref="D6:D9"/>
    <mergeCell ref="E6:E9"/>
    <mergeCell ref="F6:F9"/>
    <mergeCell ref="G6:G9"/>
    <mergeCell ref="A10:A12"/>
    <mergeCell ref="C10:C12"/>
    <mergeCell ref="D10:D12"/>
    <mergeCell ref="E10:E12"/>
    <mergeCell ref="F10:F12"/>
    <mergeCell ref="A1:B1"/>
    <mergeCell ref="C1:F1"/>
    <mergeCell ref="G1:J1"/>
    <mergeCell ref="A3:A5"/>
    <mergeCell ref="C3:C5"/>
    <mergeCell ref="D3:D5"/>
    <mergeCell ref="E3:E5"/>
    <mergeCell ref="F3:F5"/>
    <mergeCell ref="G3:G5"/>
  </mergeCells>
  <pageMargins left="0.7" right="0.7" top="1.4583333333333299" bottom="0.75" header="0.3" footer="0.3"/>
  <pageSetup scale="34" orientation="portrait" r:id="rId1"/>
  <headerFooter>
    <oddHeader>&amp;C&amp;8&amp;G&amp;11
&amp;D &amp;F
&amp;16 &amp;A</oddHeader>
    <oddFooter>&amp;CAzAHEC
&amp;D &amp;F
 &amp;A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1EEA5-97F4-4311-8725-A77F07753BE1}">
  <sheetPr codeName="Sheet4">
    <tabColor theme="9"/>
    <pageSetUpPr fitToPage="1"/>
  </sheetPr>
  <dimension ref="A1:F28"/>
  <sheetViews>
    <sheetView view="pageLayout" topLeftCell="D3" zoomScale="70" zoomScaleNormal="100" zoomScalePageLayoutView="70" workbookViewId="0">
      <selection sqref="A1:E1"/>
    </sheetView>
  </sheetViews>
  <sheetFormatPr defaultRowHeight="14.4" x14ac:dyDescent="0.3"/>
  <cols>
    <col min="1" max="1" width="48.77734375" customWidth="1"/>
    <col min="2" max="2" width="37.21875" customWidth="1"/>
    <col min="3" max="3" width="41.21875" bestFit="1" customWidth="1"/>
    <col min="4" max="4" width="77.77734375" customWidth="1"/>
    <col min="5" max="5" width="41.21875" customWidth="1"/>
    <col min="6" max="6" width="37" customWidth="1"/>
  </cols>
  <sheetData>
    <row r="1" spans="1:6" ht="39" customHeight="1" thickBot="1" x14ac:dyDescent="0.35">
      <c r="A1" s="453" t="s">
        <v>154</v>
      </c>
      <c r="B1" s="454"/>
      <c r="C1" s="454"/>
      <c r="D1" s="454"/>
      <c r="E1" s="455"/>
      <c r="F1" s="314" t="s">
        <v>232</v>
      </c>
    </row>
    <row r="2" spans="1:6" ht="35.4" thickBot="1" x14ac:dyDescent="0.35">
      <c r="A2" s="312" t="s">
        <v>155</v>
      </c>
      <c r="B2" s="313" t="s">
        <v>34</v>
      </c>
      <c r="C2" s="313" t="s">
        <v>35</v>
      </c>
      <c r="D2" s="313" t="s">
        <v>156</v>
      </c>
      <c r="E2" s="313" t="s">
        <v>36</v>
      </c>
      <c r="F2" s="314" t="s">
        <v>232</v>
      </c>
    </row>
    <row r="3" spans="1:6" ht="189" customHeight="1" x14ac:dyDescent="0.3">
      <c r="A3" s="456" t="s">
        <v>299</v>
      </c>
      <c r="B3" s="459" t="s">
        <v>157</v>
      </c>
      <c r="C3" s="315" t="s">
        <v>39</v>
      </c>
      <c r="D3" s="459" t="s">
        <v>300</v>
      </c>
      <c r="E3" s="459" t="s">
        <v>158</v>
      </c>
      <c r="F3" s="447" t="s">
        <v>216</v>
      </c>
    </row>
    <row r="4" spans="1:6" ht="18" x14ac:dyDescent="0.3">
      <c r="A4" s="457"/>
      <c r="B4" s="460"/>
      <c r="C4" s="315" t="s">
        <v>41</v>
      </c>
      <c r="D4" s="460"/>
      <c r="E4" s="460"/>
      <c r="F4" s="448"/>
    </row>
    <row r="5" spans="1:6" ht="18" x14ac:dyDescent="0.3">
      <c r="A5" s="457"/>
      <c r="B5" s="460"/>
      <c r="C5" s="315" t="s">
        <v>43</v>
      </c>
      <c r="D5" s="460"/>
      <c r="E5" s="460"/>
      <c r="F5" s="448"/>
    </row>
    <row r="6" spans="1:6" ht="92.25" customHeight="1" thickBot="1" x14ac:dyDescent="0.35">
      <c r="A6" s="458"/>
      <c r="B6" s="461"/>
      <c r="C6" s="317"/>
      <c r="D6" s="461"/>
      <c r="E6" s="461"/>
      <c r="F6" s="449"/>
    </row>
    <row r="7" spans="1:6" ht="92.25" customHeight="1" x14ac:dyDescent="0.3">
      <c r="A7" s="456" t="s">
        <v>301</v>
      </c>
      <c r="B7" s="459" t="s">
        <v>159</v>
      </c>
      <c r="C7" s="315" t="s">
        <v>45</v>
      </c>
      <c r="D7" s="459" t="s">
        <v>296</v>
      </c>
      <c r="E7" s="459" t="s">
        <v>161</v>
      </c>
      <c r="F7" s="447" t="s">
        <v>184</v>
      </c>
    </row>
    <row r="8" spans="1:6" ht="69.75" customHeight="1" thickBot="1" x14ac:dyDescent="0.35">
      <c r="A8" s="458"/>
      <c r="B8" s="461"/>
      <c r="C8" s="317" t="s">
        <v>160</v>
      </c>
      <c r="D8" s="461"/>
      <c r="E8" s="461"/>
      <c r="F8" s="451"/>
    </row>
    <row r="9" spans="1:6" ht="355.5" customHeight="1" x14ac:dyDescent="0.3">
      <c r="A9" s="456" t="s">
        <v>302</v>
      </c>
      <c r="B9" s="459" t="s">
        <v>162</v>
      </c>
      <c r="C9" s="315" t="s">
        <v>163</v>
      </c>
      <c r="D9" s="459" t="s">
        <v>164</v>
      </c>
      <c r="E9" s="459" t="s">
        <v>165</v>
      </c>
      <c r="F9" s="447" t="s">
        <v>48</v>
      </c>
    </row>
    <row r="10" spans="1:6" ht="18.600000000000001" thickBot="1" x14ac:dyDescent="0.35">
      <c r="A10" s="458"/>
      <c r="B10" s="461"/>
      <c r="C10" s="317" t="s">
        <v>54</v>
      </c>
      <c r="D10" s="461"/>
      <c r="E10" s="461"/>
      <c r="F10" s="452"/>
    </row>
    <row r="11" spans="1:6" ht="45.45" customHeight="1" thickBot="1" x14ac:dyDescent="0.35">
      <c r="A11" s="465" t="s">
        <v>185</v>
      </c>
      <c r="B11" s="466"/>
      <c r="C11" s="466"/>
      <c r="D11" s="466"/>
      <c r="E11" s="467"/>
      <c r="F11" s="318"/>
    </row>
    <row r="12" spans="1:6" ht="35.4" thickBot="1" x14ac:dyDescent="0.35">
      <c r="A12" s="312" t="s">
        <v>166</v>
      </c>
      <c r="B12" s="313" t="s">
        <v>34</v>
      </c>
      <c r="C12" s="313" t="s">
        <v>35</v>
      </c>
      <c r="D12" s="313" t="s">
        <v>156</v>
      </c>
      <c r="E12" s="313" t="s">
        <v>36</v>
      </c>
      <c r="F12" s="314" t="s">
        <v>232</v>
      </c>
    </row>
    <row r="13" spans="1:6" ht="141" customHeight="1" thickBot="1" x14ac:dyDescent="0.35">
      <c r="A13" s="316" t="s">
        <v>303</v>
      </c>
      <c r="B13" s="317" t="s">
        <v>214</v>
      </c>
      <c r="C13" s="317" t="s">
        <v>254</v>
      </c>
      <c r="D13" s="317" t="s">
        <v>297</v>
      </c>
      <c r="E13" s="317" t="s">
        <v>167</v>
      </c>
      <c r="F13" s="318" t="s">
        <v>186</v>
      </c>
    </row>
    <row r="14" spans="1:6" ht="19.95" customHeight="1" thickBot="1" x14ac:dyDescent="0.35">
      <c r="A14" s="453" t="s">
        <v>168</v>
      </c>
      <c r="B14" s="454"/>
      <c r="C14" s="454"/>
      <c r="D14" s="454"/>
      <c r="E14" s="455"/>
      <c r="F14" s="319"/>
    </row>
    <row r="15" spans="1:6" ht="35.4" thickBot="1" x14ac:dyDescent="0.35">
      <c r="A15" s="312" t="s">
        <v>166</v>
      </c>
      <c r="B15" s="313" t="s">
        <v>34</v>
      </c>
      <c r="C15" s="313" t="s">
        <v>35</v>
      </c>
      <c r="D15" s="313" t="s">
        <v>156</v>
      </c>
      <c r="E15" s="313" t="s">
        <v>36</v>
      </c>
      <c r="F15" s="314" t="s">
        <v>232</v>
      </c>
    </row>
    <row r="16" spans="1:6" ht="126" customHeight="1" x14ac:dyDescent="0.3">
      <c r="A16" s="456" t="s">
        <v>304</v>
      </c>
      <c r="B16" s="459" t="s">
        <v>169</v>
      </c>
      <c r="C16" s="315" t="s">
        <v>170</v>
      </c>
      <c r="D16" s="459" t="s">
        <v>298</v>
      </c>
      <c r="E16" s="459" t="s">
        <v>173</v>
      </c>
      <c r="F16" s="450" t="s">
        <v>307</v>
      </c>
    </row>
    <row r="17" spans="1:6" ht="18" x14ac:dyDescent="0.3">
      <c r="A17" s="457"/>
      <c r="B17" s="460"/>
      <c r="C17" s="315" t="s">
        <v>50</v>
      </c>
      <c r="D17" s="460"/>
      <c r="E17" s="460"/>
      <c r="F17" s="448"/>
    </row>
    <row r="18" spans="1:6" ht="18" x14ac:dyDescent="0.3">
      <c r="A18" s="457"/>
      <c r="B18" s="460"/>
      <c r="C18" s="315" t="s">
        <v>171</v>
      </c>
      <c r="D18" s="460"/>
      <c r="E18" s="460"/>
      <c r="F18" s="448"/>
    </row>
    <row r="19" spans="1:6" ht="60.75" customHeight="1" thickBot="1" x14ac:dyDescent="0.35">
      <c r="A19" s="458"/>
      <c r="B19" s="461"/>
      <c r="C19" s="317" t="s">
        <v>172</v>
      </c>
      <c r="D19" s="461"/>
      <c r="E19" s="461"/>
      <c r="F19" s="448"/>
    </row>
    <row r="20" spans="1:6" ht="19.95" customHeight="1" thickBot="1" x14ac:dyDescent="0.35">
      <c r="A20" s="462" t="s">
        <v>174</v>
      </c>
      <c r="B20" s="463"/>
      <c r="C20" s="463"/>
      <c r="D20" s="463"/>
      <c r="E20" s="464"/>
      <c r="F20" s="449"/>
    </row>
    <row r="21" spans="1:6" ht="35.4" thickBot="1" x14ac:dyDescent="0.35">
      <c r="A21" s="312" t="s">
        <v>166</v>
      </c>
      <c r="B21" s="313" t="s">
        <v>34</v>
      </c>
      <c r="C21" s="313" t="s">
        <v>35</v>
      </c>
      <c r="D21" s="313" t="s">
        <v>156</v>
      </c>
      <c r="E21" s="313" t="s">
        <v>36</v>
      </c>
      <c r="F21" s="314" t="s">
        <v>37</v>
      </c>
    </row>
    <row r="22" spans="1:6" ht="133.5" customHeight="1" x14ac:dyDescent="0.3">
      <c r="A22" s="456" t="s">
        <v>305</v>
      </c>
      <c r="B22" s="459" t="s">
        <v>175</v>
      </c>
      <c r="C22" s="459" t="s">
        <v>176</v>
      </c>
      <c r="D22" s="459" t="s">
        <v>177</v>
      </c>
      <c r="E22" s="459" t="s">
        <v>178</v>
      </c>
      <c r="F22" s="447" t="s">
        <v>58</v>
      </c>
    </row>
    <row r="23" spans="1:6" x14ac:dyDescent="0.3">
      <c r="A23" s="457"/>
      <c r="B23" s="460"/>
      <c r="C23" s="460"/>
      <c r="D23" s="460"/>
      <c r="E23" s="460"/>
      <c r="F23" s="448"/>
    </row>
    <row r="24" spans="1:6" ht="15" thickBot="1" x14ac:dyDescent="0.35">
      <c r="A24" s="458"/>
      <c r="B24" s="461"/>
      <c r="C24" s="461"/>
      <c r="D24" s="461"/>
      <c r="E24" s="461"/>
      <c r="F24" s="449"/>
    </row>
    <row r="25" spans="1:6" ht="19.95" customHeight="1" thickBot="1" x14ac:dyDescent="0.35">
      <c r="A25" s="453" t="s">
        <v>179</v>
      </c>
      <c r="B25" s="454"/>
      <c r="C25" s="454"/>
      <c r="D25" s="454"/>
      <c r="E25" s="455"/>
      <c r="F25" s="320"/>
    </row>
    <row r="26" spans="1:6" ht="35.4" thickBot="1" x14ac:dyDescent="0.35">
      <c r="A26" s="312" t="s">
        <v>166</v>
      </c>
      <c r="B26" s="313" t="s">
        <v>34</v>
      </c>
      <c r="C26" s="313" t="s">
        <v>35</v>
      </c>
      <c r="D26" s="313" t="s">
        <v>156</v>
      </c>
      <c r="E26" s="313" t="s">
        <v>36</v>
      </c>
      <c r="F26" s="314" t="s">
        <v>232</v>
      </c>
    </row>
    <row r="27" spans="1:6" ht="123" customHeight="1" thickBot="1" x14ac:dyDescent="0.35">
      <c r="A27" s="316" t="s">
        <v>306</v>
      </c>
      <c r="B27" s="317" t="s">
        <v>180</v>
      </c>
      <c r="C27" s="317" t="s">
        <v>181</v>
      </c>
      <c r="D27" s="317" t="s">
        <v>182</v>
      </c>
      <c r="E27" s="317" t="s">
        <v>183</v>
      </c>
      <c r="F27" s="318" t="s">
        <v>58</v>
      </c>
    </row>
    <row r="28" spans="1:6" x14ac:dyDescent="0.3">
      <c r="F28" s="18"/>
    </row>
  </sheetData>
  <sheetProtection algorithmName="SHA-512" hashValue="led47IGuIYJiIXjm4dalkNZLZOM0SDXo3WKctsV2A+uJinwl7JkHht+WcoNMZyBuCncykI7zMVwAgJGbw/rHrQ==" saltValue="ZLGsY4aVvyD6ivOi3pzz/Q==" spinCount="100000" sheet="1" objects="1" scenarios="1"/>
  <mergeCells count="31">
    <mergeCell ref="A14:E14"/>
    <mergeCell ref="A1:E1"/>
    <mergeCell ref="A3:A6"/>
    <mergeCell ref="B3:B6"/>
    <mergeCell ref="D3:D6"/>
    <mergeCell ref="E3:E6"/>
    <mergeCell ref="A7:A8"/>
    <mergeCell ref="B7:B8"/>
    <mergeCell ref="D7:D8"/>
    <mergeCell ref="E7:E8"/>
    <mergeCell ref="A9:A10"/>
    <mergeCell ref="B9:B10"/>
    <mergeCell ref="D9:D10"/>
    <mergeCell ref="E9:E10"/>
    <mergeCell ref="A11:E11"/>
    <mergeCell ref="A25:E25"/>
    <mergeCell ref="A16:A19"/>
    <mergeCell ref="B16:B19"/>
    <mergeCell ref="D16:D19"/>
    <mergeCell ref="E16:E19"/>
    <mergeCell ref="A20:E20"/>
    <mergeCell ref="A22:A24"/>
    <mergeCell ref="B22:B24"/>
    <mergeCell ref="C22:C24"/>
    <mergeCell ref="D22:D24"/>
    <mergeCell ref="E22:E24"/>
    <mergeCell ref="F3:F6"/>
    <mergeCell ref="F16:F20"/>
    <mergeCell ref="F22:F24"/>
    <mergeCell ref="F7:F8"/>
    <mergeCell ref="F9:F10"/>
  </mergeCells>
  <pageMargins left="0.7" right="0.7" top="1.4583333333333299" bottom="0.75" header="0.3" footer="0.3"/>
  <pageSetup scale="31" orientation="portrait" r:id="rId1"/>
  <headerFooter>
    <oddHeader>&amp;C&amp;8&amp;G&amp;11
&amp;D &amp;F
&amp;16 &amp;A</oddHeader>
    <oddFooter>&amp;CAzAHEC
&amp;D &amp;F
 &amp;A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B3121-BF52-4493-B9A1-46D1CBD32758}">
  <sheetPr codeName="Sheet3">
    <tabColor theme="9"/>
    <pageSetUpPr fitToPage="1"/>
  </sheetPr>
  <dimension ref="A1:O13"/>
  <sheetViews>
    <sheetView view="pageLayout" zoomScaleNormal="100" workbookViewId="0">
      <selection activeCell="B1" sqref="B1:C1"/>
    </sheetView>
  </sheetViews>
  <sheetFormatPr defaultRowHeight="14.4" x14ac:dyDescent="0.3"/>
  <cols>
    <col min="1" max="1" width="10.5546875" customWidth="1"/>
    <col min="2" max="2" width="8.21875" customWidth="1"/>
    <col min="3" max="3" width="11.77734375" bestFit="1" customWidth="1"/>
    <col min="4" max="4" width="8.5546875" bestFit="1" customWidth="1"/>
    <col min="5" max="5" width="14" customWidth="1"/>
    <col min="6" max="6" width="8.77734375" customWidth="1"/>
    <col min="7" max="7" width="15.77734375" customWidth="1"/>
    <col min="8" max="8" width="7.21875" bestFit="1" customWidth="1"/>
    <col min="9" max="9" width="11.77734375" bestFit="1" customWidth="1"/>
    <col min="10" max="10" width="7.21875" customWidth="1"/>
    <col min="11" max="11" width="11.77734375" bestFit="1" customWidth="1"/>
    <col min="12" max="12" width="7.21875" bestFit="1" customWidth="1"/>
    <col min="13" max="13" width="11.77734375" bestFit="1" customWidth="1"/>
    <col min="14" max="14" width="10.5546875" bestFit="1" customWidth="1"/>
    <col min="15" max="15" width="11.77734375" bestFit="1" customWidth="1"/>
  </cols>
  <sheetData>
    <row r="1" spans="1:15" ht="15" thickBot="1" x14ac:dyDescent="0.35">
      <c r="A1" s="1"/>
      <c r="B1" s="470">
        <v>1</v>
      </c>
      <c r="C1" s="471"/>
      <c r="D1" s="470">
        <v>0.9</v>
      </c>
      <c r="E1" s="471"/>
      <c r="F1" s="470">
        <v>0.8</v>
      </c>
      <c r="G1" s="471"/>
      <c r="H1" s="470">
        <v>0.7</v>
      </c>
      <c r="I1" s="471"/>
      <c r="J1" s="470">
        <v>0.6</v>
      </c>
      <c r="K1" s="471"/>
      <c r="L1" s="470">
        <v>0.5</v>
      </c>
      <c r="M1" s="471"/>
      <c r="N1" s="468" t="s">
        <v>0</v>
      </c>
      <c r="O1" s="469"/>
    </row>
    <row r="2" spans="1:15" ht="28.8" x14ac:dyDescent="0.3">
      <c r="A2" s="2"/>
      <c r="B2" s="216" t="s">
        <v>1</v>
      </c>
      <c r="C2" s="212" t="s">
        <v>2</v>
      </c>
      <c r="D2" s="211" t="s">
        <v>1</v>
      </c>
      <c r="E2" s="212" t="s">
        <v>2</v>
      </c>
      <c r="F2" s="211" t="s">
        <v>1</v>
      </c>
      <c r="G2" s="213" t="s">
        <v>2</v>
      </c>
      <c r="H2" s="211" t="s">
        <v>1</v>
      </c>
      <c r="I2" s="212" t="s">
        <v>2</v>
      </c>
      <c r="J2" s="211" t="s">
        <v>1</v>
      </c>
      <c r="K2" s="212" t="s">
        <v>2</v>
      </c>
      <c r="L2" s="211" t="s">
        <v>1</v>
      </c>
      <c r="M2" s="212" t="s">
        <v>2</v>
      </c>
      <c r="N2" s="214" t="s">
        <v>1</v>
      </c>
      <c r="O2" s="212" t="s">
        <v>2</v>
      </c>
    </row>
    <row r="3" spans="1:15" x14ac:dyDescent="0.3">
      <c r="A3" s="3" t="s">
        <v>3</v>
      </c>
      <c r="B3" s="164">
        <v>120</v>
      </c>
      <c r="C3" s="165">
        <v>570828</v>
      </c>
      <c r="D3" s="166" t="s">
        <v>4</v>
      </c>
      <c r="E3" s="210">
        <f>SUM(C3*0.9)</f>
        <v>513745.2</v>
      </c>
      <c r="F3" s="166" t="s">
        <v>5</v>
      </c>
      <c r="G3" s="210">
        <f>SUM(C3*0.8)</f>
        <v>456662.4</v>
      </c>
      <c r="H3" s="166" t="s">
        <v>6</v>
      </c>
      <c r="I3" s="210">
        <f>SUM(C3*0.7)</f>
        <v>399579.6</v>
      </c>
      <c r="J3" s="166" t="s">
        <v>7</v>
      </c>
      <c r="K3" s="210">
        <f>SUM(C3*0.6)</f>
        <v>342496.8</v>
      </c>
      <c r="L3" s="166" t="s">
        <v>8</v>
      </c>
      <c r="M3" s="210">
        <f>SUM(C3*0.5)</f>
        <v>285414</v>
      </c>
      <c r="N3" s="167" t="s">
        <v>9</v>
      </c>
      <c r="O3" s="215">
        <f>SUM(C3*0.35)</f>
        <v>199789.8</v>
      </c>
    </row>
    <row r="4" spans="1:15" x14ac:dyDescent="0.3">
      <c r="A4" s="1"/>
      <c r="B4" s="4"/>
      <c r="C4" s="168"/>
      <c r="D4" s="140"/>
      <c r="E4" s="168"/>
      <c r="F4" s="140"/>
      <c r="G4" s="168"/>
      <c r="H4" s="140"/>
      <c r="I4" s="168"/>
      <c r="J4" s="140"/>
      <c r="K4" s="168"/>
      <c r="L4" s="140"/>
      <c r="M4" s="168"/>
      <c r="N4" s="169"/>
      <c r="O4" s="168"/>
    </row>
    <row r="5" spans="1:15" x14ac:dyDescent="0.3">
      <c r="A5" s="3" t="s">
        <v>187</v>
      </c>
      <c r="B5" s="164">
        <v>2</v>
      </c>
      <c r="C5" s="165">
        <v>30000</v>
      </c>
      <c r="D5" s="3">
        <v>2</v>
      </c>
      <c r="E5" s="165">
        <v>30000</v>
      </c>
      <c r="F5" s="3">
        <v>2</v>
      </c>
      <c r="G5" s="165">
        <v>30000</v>
      </c>
      <c r="H5" s="3">
        <v>2</v>
      </c>
      <c r="I5" s="165">
        <v>30000</v>
      </c>
      <c r="J5" s="3">
        <v>2</v>
      </c>
      <c r="K5" s="165">
        <v>30000</v>
      </c>
      <c r="L5" s="166">
        <v>1</v>
      </c>
      <c r="M5" s="165">
        <v>15000</v>
      </c>
      <c r="N5" s="167">
        <v>0</v>
      </c>
      <c r="O5" s="165">
        <v>0</v>
      </c>
    </row>
    <row r="6" spans="1:15" x14ac:dyDescent="0.3">
      <c r="A6" s="1"/>
      <c r="B6" s="4"/>
      <c r="C6" s="168"/>
      <c r="D6" s="140"/>
      <c r="E6" s="168"/>
      <c r="F6" s="140"/>
      <c r="G6" s="168"/>
      <c r="H6" s="140"/>
      <c r="I6" s="168"/>
      <c r="J6" s="140"/>
      <c r="K6" s="168"/>
      <c r="L6" s="140"/>
      <c r="M6" s="168"/>
      <c r="N6" s="169"/>
      <c r="O6" s="168"/>
    </row>
    <row r="7" spans="1:15" x14ac:dyDescent="0.3">
      <c r="A7" s="3" t="s">
        <v>10</v>
      </c>
      <c r="B7" s="164">
        <v>120</v>
      </c>
      <c r="C7" s="165">
        <v>76054</v>
      </c>
      <c r="D7" s="170" t="s">
        <v>4</v>
      </c>
      <c r="E7" s="210">
        <f>SUM(C7*0.9)</f>
        <v>68448.600000000006</v>
      </c>
      <c r="F7" s="166" t="s">
        <v>5</v>
      </c>
      <c r="G7" s="210">
        <f>SUM(C7*0.8)</f>
        <v>60843.200000000004</v>
      </c>
      <c r="H7" s="166" t="s">
        <v>6</v>
      </c>
      <c r="I7" s="210">
        <f>SUM(C7*0.7)</f>
        <v>53237.799999999996</v>
      </c>
      <c r="J7" s="166" t="s">
        <v>7</v>
      </c>
      <c r="K7" s="210">
        <f>SUM(C7*0.6)</f>
        <v>45632.4</v>
      </c>
      <c r="L7" s="166" t="s">
        <v>8</v>
      </c>
      <c r="M7" s="210">
        <f>SUM(C7*0.5)</f>
        <v>38027</v>
      </c>
      <c r="N7" s="167" t="s">
        <v>9</v>
      </c>
      <c r="O7" s="215">
        <f>SUM(C7*0.35)</f>
        <v>26618.899999999998</v>
      </c>
    </row>
    <row r="8" spans="1:15" x14ac:dyDescent="0.3">
      <c r="A8" s="1"/>
      <c r="B8" s="4"/>
      <c r="C8" s="168"/>
      <c r="D8" s="171"/>
      <c r="E8" s="168"/>
      <c r="F8" s="140"/>
      <c r="G8" s="168"/>
      <c r="H8" s="140"/>
      <c r="I8" s="168"/>
      <c r="J8" s="140"/>
      <c r="K8" s="168"/>
      <c r="L8" s="140"/>
      <c r="M8" s="168"/>
      <c r="N8" s="169"/>
      <c r="O8" s="168"/>
    </row>
    <row r="9" spans="1:15" x14ac:dyDescent="0.3">
      <c r="A9" s="3" t="s">
        <v>11</v>
      </c>
      <c r="B9" s="164">
        <v>300</v>
      </c>
      <c r="C9" s="165">
        <v>83659</v>
      </c>
      <c r="D9" s="166" t="s">
        <v>191</v>
      </c>
      <c r="E9" s="210">
        <f>SUM(C9*0.9)</f>
        <v>75293.100000000006</v>
      </c>
      <c r="F9" s="166" t="s">
        <v>192</v>
      </c>
      <c r="G9" s="210">
        <f>SUM(C9*0.8)</f>
        <v>66927.199999999997</v>
      </c>
      <c r="H9" s="166" t="s">
        <v>193</v>
      </c>
      <c r="I9" s="210">
        <f>SUM(C9*0.7)</f>
        <v>58561.299999999996</v>
      </c>
      <c r="J9" s="166" t="s">
        <v>194</v>
      </c>
      <c r="K9" s="210">
        <f>SUM(C9*0.6)</f>
        <v>50195.4</v>
      </c>
      <c r="L9" s="172" t="s">
        <v>195</v>
      </c>
      <c r="M9" s="210">
        <f>SUM(C9*0.5)</f>
        <v>41829.5</v>
      </c>
      <c r="N9" s="167" t="s">
        <v>196</v>
      </c>
      <c r="O9" s="215">
        <f>SUM(C9*0.35)</f>
        <v>29280.649999999998</v>
      </c>
    </row>
    <row r="10" spans="1:15" x14ac:dyDescent="0.3">
      <c r="A10" s="1"/>
      <c r="B10" s="4"/>
      <c r="C10" s="139"/>
      <c r="D10" s="140"/>
      <c r="E10" s="139"/>
      <c r="F10" s="140"/>
      <c r="G10" s="139"/>
      <c r="H10" s="140"/>
      <c r="I10" s="139"/>
      <c r="J10" s="140"/>
      <c r="K10" s="139"/>
      <c r="L10" s="140"/>
      <c r="M10" s="139"/>
      <c r="N10" s="141"/>
      <c r="O10" s="139"/>
    </row>
    <row r="11" spans="1:15" ht="15" thickBot="1" x14ac:dyDescent="0.35">
      <c r="A11" s="1"/>
      <c r="B11" s="5"/>
      <c r="C11" s="142">
        <f>SUM(C3:C9)</f>
        <v>760541</v>
      </c>
      <c r="D11" s="143"/>
      <c r="E11" s="142">
        <f>SUM(E3:E9)</f>
        <v>687486.89999999991</v>
      </c>
      <c r="F11" s="143"/>
      <c r="G11" s="142">
        <f>SUM(G3:G9)</f>
        <v>614432.79999999993</v>
      </c>
      <c r="H11" s="143"/>
      <c r="I11" s="142">
        <f>SUM(I3:I9)</f>
        <v>541378.69999999995</v>
      </c>
      <c r="J11" s="143"/>
      <c r="K11" s="142">
        <f>SUM(K3:K9)</f>
        <v>468324.60000000003</v>
      </c>
      <c r="L11" s="143"/>
      <c r="M11" s="142">
        <f>SUM(M3:M9)</f>
        <v>380270.5</v>
      </c>
      <c r="N11" s="144"/>
      <c r="O11" s="142">
        <f>SUM(O3:O9)</f>
        <v>255689.34999999998</v>
      </c>
    </row>
    <row r="13" spans="1:15" x14ac:dyDescent="0.3">
      <c r="O13" s="145"/>
    </row>
  </sheetData>
  <sheetProtection algorithmName="SHA-512" hashValue="m0EJ4oA9N4pOzxOsK66epaG0rcVHUtcWUdX0ftSjOyK6mqy80Y7Y3c+3+Hu3+2VDtWkZYvl/3xr20c+JTxuQgw==" saltValue="iPwB7+K9aitAaXILPOFmVw==" spinCount="100000" sheet="1" objects="1" scenarios="1"/>
  <mergeCells count="7">
    <mergeCell ref="N1:O1"/>
    <mergeCell ref="B1:C1"/>
    <mergeCell ref="D1:E1"/>
    <mergeCell ref="F1:G1"/>
    <mergeCell ref="H1:I1"/>
    <mergeCell ref="J1:K1"/>
    <mergeCell ref="L1:M1"/>
  </mergeCells>
  <pageMargins left="0.7" right="0.7" top="1.4583333333333299" bottom="0.75" header="0.3" footer="0.3"/>
  <pageSetup scale="57" orientation="portrait" r:id="rId1"/>
  <headerFooter>
    <oddHeader>&amp;C&amp;8&amp;G&amp;11
&amp;D &amp;F
&amp;16 &amp;A</oddHeader>
    <oddFooter>&amp;CAzAHEC
&amp;D &amp;F
 &amp;A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7FB72-6E9F-400F-9061-2D408D2F8962}">
  <sheetPr codeName="Sheet9">
    <tabColor theme="7"/>
    <pageSetUpPr fitToPage="1"/>
  </sheetPr>
  <dimension ref="A1:X78"/>
  <sheetViews>
    <sheetView view="pageLayout" topLeftCell="A2" zoomScale="80" zoomScaleNormal="85" zoomScalePageLayoutView="80" workbookViewId="0">
      <selection activeCell="I11" sqref="I11"/>
    </sheetView>
  </sheetViews>
  <sheetFormatPr defaultColWidth="10.77734375" defaultRowHeight="13.2" x14ac:dyDescent="0.25"/>
  <cols>
    <col min="1" max="1" width="21.21875" style="63" customWidth="1"/>
    <col min="2" max="2" width="27.5546875" style="63" customWidth="1"/>
    <col min="3" max="3" width="17.77734375" style="61" customWidth="1"/>
    <col min="4" max="4" width="12.21875" style="100" customWidth="1"/>
    <col min="5" max="5" width="9.21875" style="60" customWidth="1"/>
    <col min="6" max="6" width="10.77734375" style="61" customWidth="1"/>
    <col min="7" max="7" width="9.77734375" style="61" bestFit="1" customWidth="1"/>
    <col min="8" max="8" width="10.77734375" style="61" bestFit="1" customWidth="1"/>
    <col min="9" max="9" width="10.21875" style="60" customWidth="1"/>
    <col min="10" max="10" width="13.44140625" style="61" customWidth="1"/>
    <col min="11" max="11" width="13.77734375" style="61" customWidth="1"/>
    <col min="12" max="12" width="12.77734375" style="61" customWidth="1"/>
    <col min="13" max="13" width="14.44140625" style="61" customWidth="1"/>
    <col min="14" max="14" width="12.44140625" style="63" hidden="1" customWidth="1"/>
    <col min="15" max="15" width="13.21875" style="63" hidden="1" customWidth="1"/>
    <col min="16" max="16" width="14.5546875" style="63" hidden="1" customWidth="1"/>
    <col min="17" max="18" width="10.77734375" style="63" hidden="1" customWidth="1"/>
    <col min="19" max="19" width="11.44140625" style="63" hidden="1" customWidth="1"/>
    <col min="20" max="20" width="12.77734375" style="63" hidden="1" customWidth="1"/>
    <col min="21" max="21" width="10.77734375" style="63" hidden="1" customWidth="1"/>
    <col min="22" max="22" width="0" style="63" hidden="1" customWidth="1"/>
    <col min="23" max="23" width="10" style="63" bestFit="1" customWidth="1"/>
    <col min="24" max="16384" width="10.77734375" style="63"/>
  </cols>
  <sheetData>
    <row r="1" spans="1:24" s="57" customFormat="1" x14ac:dyDescent="0.25">
      <c r="A1" s="53" t="s">
        <v>101</v>
      </c>
      <c r="B1" s="54"/>
      <c r="C1" s="472" t="s">
        <v>101</v>
      </c>
      <c r="D1" s="472"/>
      <c r="E1" s="472"/>
      <c r="F1" s="472"/>
      <c r="G1" s="472"/>
      <c r="H1" s="472"/>
      <c r="I1" s="55"/>
      <c r="J1" s="54"/>
      <c r="K1" s="54"/>
      <c r="L1" s="54"/>
      <c r="M1" s="56"/>
    </row>
    <row r="2" spans="1:24" ht="17.399999999999999" x14ac:dyDescent="0.3">
      <c r="A2" s="58" t="s">
        <v>231</v>
      </c>
      <c r="B2" s="59"/>
      <c r="C2" s="473"/>
      <c r="D2" s="473"/>
      <c r="E2" s="473"/>
      <c r="F2" s="473"/>
      <c r="G2" s="473"/>
      <c r="H2" s="473"/>
      <c r="L2" s="223"/>
      <c r="M2" s="62"/>
      <c r="U2" s="57"/>
      <c r="V2" s="57"/>
    </row>
    <row r="3" spans="1:24" ht="15.6" x14ac:dyDescent="0.3">
      <c r="A3" s="64" t="s">
        <v>102</v>
      </c>
      <c r="B3" s="65"/>
      <c r="C3" s="474" t="s">
        <v>291</v>
      </c>
      <c r="D3" s="474"/>
      <c r="E3" s="474"/>
      <c r="F3" s="474"/>
      <c r="G3" s="474"/>
      <c r="H3" s="474"/>
      <c r="I3" s="252" t="s">
        <v>259</v>
      </c>
      <c r="J3" s="67"/>
      <c r="K3" s="67"/>
      <c r="L3" s="67"/>
      <c r="M3" s="68"/>
      <c r="P3" s="57"/>
      <c r="Q3" s="57"/>
      <c r="R3" s="57"/>
      <c r="S3" s="57"/>
      <c r="T3" s="57"/>
      <c r="U3" s="57"/>
      <c r="V3" s="57"/>
    </row>
    <row r="4" spans="1:24" ht="13.8" thickBot="1" x14ac:dyDescent="0.3">
      <c r="A4" s="69" t="s">
        <v>103</v>
      </c>
      <c r="B4" s="70"/>
      <c r="C4" s="71"/>
      <c r="D4" s="72"/>
      <c r="E4" s="73"/>
      <c r="F4" s="71"/>
      <c r="G4" s="71"/>
      <c r="H4" s="74"/>
      <c r="I4" s="73"/>
      <c r="J4" s="71"/>
      <c r="K4" s="71"/>
      <c r="L4" s="71"/>
      <c r="M4" s="75"/>
      <c r="T4" s="199">
        <v>44812</v>
      </c>
      <c r="U4" s="57"/>
      <c r="V4" s="57"/>
    </row>
    <row r="5" spans="1:24" s="57" customFormat="1" ht="14.55" customHeight="1" x14ac:dyDescent="0.25">
      <c r="A5" s="76"/>
      <c r="C5" s="59"/>
      <c r="D5" s="77"/>
      <c r="E5" s="475" t="s">
        <v>104</v>
      </c>
      <c r="F5" s="476"/>
      <c r="G5" s="476"/>
      <c r="H5" s="477"/>
      <c r="I5" s="478" t="s">
        <v>105</v>
      </c>
      <c r="J5" s="479"/>
      <c r="K5" s="479"/>
      <c r="L5" s="480"/>
      <c r="M5" s="154"/>
      <c r="T5" s="177" t="s">
        <v>212</v>
      </c>
    </row>
    <row r="6" spans="1:24" ht="14.25" customHeight="1" thickBot="1" x14ac:dyDescent="0.3">
      <c r="A6" s="79" t="s">
        <v>106</v>
      </c>
      <c r="B6" s="65"/>
      <c r="C6" s="67"/>
      <c r="D6" s="80"/>
      <c r="E6" s="147"/>
      <c r="F6" s="81"/>
      <c r="G6" s="81"/>
      <c r="H6" s="150"/>
      <c r="I6" s="156"/>
      <c r="J6" s="81"/>
      <c r="K6" s="82"/>
      <c r="L6" s="150"/>
      <c r="M6" s="68"/>
      <c r="S6" s="176" t="s">
        <v>202</v>
      </c>
      <c r="T6" s="177">
        <v>1.05</v>
      </c>
      <c r="U6" s="178"/>
    </row>
    <row r="7" spans="1:24" s="87" customFormat="1" ht="39.6" customHeight="1" thickBot="1" x14ac:dyDescent="0.3">
      <c r="A7" s="83" t="s">
        <v>107</v>
      </c>
      <c r="B7" s="84" t="s">
        <v>108</v>
      </c>
      <c r="C7" s="85" t="s">
        <v>265</v>
      </c>
      <c r="D7" s="146" t="s">
        <v>109</v>
      </c>
      <c r="E7" s="148" t="s">
        <v>110</v>
      </c>
      <c r="F7" s="85" t="s">
        <v>264</v>
      </c>
      <c r="G7" s="86" t="s">
        <v>112</v>
      </c>
      <c r="H7" s="151" t="s">
        <v>113</v>
      </c>
      <c r="I7" s="148" t="s">
        <v>110</v>
      </c>
      <c r="J7" s="85" t="s">
        <v>111</v>
      </c>
      <c r="K7" s="85" t="s">
        <v>112</v>
      </c>
      <c r="L7" s="151" t="s">
        <v>113</v>
      </c>
      <c r="M7" s="86" t="s">
        <v>114</v>
      </c>
      <c r="N7" s="63"/>
      <c r="O7" s="179" t="s">
        <v>211</v>
      </c>
      <c r="P7" s="179" t="s">
        <v>203</v>
      </c>
      <c r="Q7" s="179" t="s">
        <v>204</v>
      </c>
      <c r="R7" s="180" t="s">
        <v>205</v>
      </c>
      <c r="S7" s="181" t="s">
        <v>206</v>
      </c>
      <c r="T7" s="193" t="s">
        <v>207</v>
      </c>
      <c r="U7" s="194" t="s">
        <v>208</v>
      </c>
    </row>
    <row r="8" spans="1:24" x14ac:dyDescent="0.25">
      <c r="A8" s="359"/>
      <c r="B8" s="359"/>
      <c r="C8" s="360"/>
      <c r="D8" s="361"/>
      <c r="E8" s="362"/>
      <c r="F8" s="88">
        <f>(C8*E8)</f>
        <v>0</v>
      </c>
      <c r="G8" s="88">
        <f>(D8*F8)</f>
        <v>0</v>
      </c>
      <c r="H8" s="152">
        <f>SUM(F8:G8)</f>
        <v>0</v>
      </c>
      <c r="I8" s="362"/>
      <c r="J8" s="88">
        <f>(C8*I8)</f>
        <v>0</v>
      </c>
      <c r="K8" s="88">
        <f t="shared" ref="K8:K13" si="0">J8*D8</f>
        <v>0</v>
      </c>
      <c r="L8" s="152">
        <f>SUM(J8:K8)</f>
        <v>0</v>
      </c>
      <c r="M8" s="155">
        <f t="shared" ref="M8:M13" si="1">H8+L8</f>
        <v>0</v>
      </c>
      <c r="N8" s="90">
        <f>+E8+I8</f>
        <v>0</v>
      </c>
      <c r="O8" s="182" t="s">
        <v>197</v>
      </c>
      <c r="P8" s="183">
        <f t="shared" ref="P8:P13" si="2">+F8+J8</f>
        <v>0</v>
      </c>
      <c r="Q8" s="184">
        <v>43992</v>
      </c>
      <c r="R8" s="185">
        <f>+S8/2080</f>
        <v>37.86057692307692</v>
      </c>
      <c r="S8" s="186">
        <v>78750</v>
      </c>
      <c r="T8" s="195">
        <f t="shared" ref="T8:T13" si="3">+S8*$T$6</f>
        <v>82687.5</v>
      </c>
      <c r="U8" s="196">
        <f>+T8/2080</f>
        <v>39.753605769230766</v>
      </c>
      <c r="W8" s="90" t="s">
        <v>51</v>
      </c>
    </row>
    <row r="9" spans="1:24" x14ac:dyDescent="0.25">
      <c r="A9" s="359"/>
      <c r="B9" s="359"/>
      <c r="C9" s="360"/>
      <c r="D9" s="361"/>
      <c r="E9" s="362"/>
      <c r="F9" s="88">
        <f>(C9*E9)</f>
        <v>0</v>
      </c>
      <c r="G9" s="88">
        <f>(D9*F9)</f>
        <v>0</v>
      </c>
      <c r="H9" s="152">
        <f>SUM(F9:G9)</f>
        <v>0</v>
      </c>
      <c r="I9" s="362"/>
      <c r="J9" s="88">
        <f t="shared" ref="J9:J13" si="4">(C9*I9)</f>
        <v>0</v>
      </c>
      <c r="K9" s="88">
        <f t="shared" si="0"/>
        <v>0</v>
      </c>
      <c r="L9" s="152">
        <f>SUM(J9:K9)</f>
        <v>0</v>
      </c>
      <c r="M9" s="155">
        <f t="shared" si="1"/>
        <v>0</v>
      </c>
      <c r="N9" s="90">
        <f t="shared" ref="N9:N13" si="5">+E9+I9</f>
        <v>0</v>
      </c>
      <c r="O9" s="187" t="s">
        <v>198</v>
      </c>
      <c r="P9" s="188">
        <f t="shared" si="2"/>
        <v>0</v>
      </c>
      <c r="Q9" s="189">
        <v>44403</v>
      </c>
      <c r="R9" s="190">
        <v>19</v>
      </c>
      <c r="S9" s="191">
        <f t="shared" ref="S9:S10" si="6">+R9*2080</f>
        <v>39520</v>
      </c>
      <c r="T9" s="197">
        <f t="shared" si="3"/>
        <v>41496</v>
      </c>
      <c r="U9" s="198">
        <f t="shared" ref="U9:U13" si="7">+T9/2080</f>
        <v>19.95</v>
      </c>
      <c r="W9" s="90" t="s">
        <v>51</v>
      </c>
    </row>
    <row r="10" spans="1:24" x14ac:dyDescent="0.25">
      <c r="A10" s="359"/>
      <c r="B10" s="359"/>
      <c r="C10" s="360"/>
      <c r="D10" s="361"/>
      <c r="E10" s="362"/>
      <c r="F10" s="88">
        <f t="shared" ref="F10:F11" si="8">(C10*E10)</f>
        <v>0</v>
      </c>
      <c r="G10" s="88">
        <f t="shared" ref="G10" si="9">(D10*F10)</f>
        <v>0</v>
      </c>
      <c r="H10" s="152">
        <f>SUM(F10:G10)</f>
        <v>0</v>
      </c>
      <c r="I10" s="362"/>
      <c r="J10" s="88">
        <f t="shared" si="4"/>
        <v>0</v>
      </c>
      <c r="K10" s="88">
        <f t="shared" si="0"/>
        <v>0</v>
      </c>
      <c r="L10" s="152">
        <f>SUM(J10:K10)</f>
        <v>0</v>
      </c>
      <c r="M10" s="155">
        <f t="shared" si="1"/>
        <v>0</v>
      </c>
      <c r="N10" s="90">
        <f t="shared" si="5"/>
        <v>0</v>
      </c>
      <c r="O10" s="187" t="s">
        <v>201</v>
      </c>
      <c r="P10" s="188">
        <f t="shared" si="2"/>
        <v>0</v>
      </c>
      <c r="Q10" s="189" t="s">
        <v>209</v>
      </c>
      <c r="R10" s="190">
        <v>18</v>
      </c>
      <c r="S10" s="191">
        <f t="shared" si="6"/>
        <v>37440</v>
      </c>
      <c r="T10" s="197">
        <f t="shared" si="3"/>
        <v>39312</v>
      </c>
      <c r="U10" s="198">
        <f t="shared" si="7"/>
        <v>18.899999999999999</v>
      </c>
      <c r="W10" s="90" t="s">
        <v>51</v>
      </c>
    </row>
    <row r="11" spans="1:24" x14ac:dyDescent="0.25">
      <c r="A11" s="359"/>
      <c r="B11" s="359"/>
      <c r="C11" s="360"/>
      <c r="D11" s="361"/>
      <c r="E11" s="362"/>
      <c r="F11" s="88">
        <f t="shared" si="8"/>
        <v>0</v>
      </c>
      <c r="G11" s="88">
        <f t="shared" ref="G11" si="10">(D11*F11)</f>
        <v>0</v>
      </c>
      <c r="H11" s="152">
        <f t="shared" ref="H11" si="11">SUM(F11:G11)</f>
        <v>0</v>
      </c>
      <c r="I11" s="362"/>
      <c r="J11" s="88">
        <f t="shared" si="4"/>
        <v>0</v>
      </c>
      <c r="K11" s="88">
        <f t="shared" si="0"/>
        <v>0</v>
      </c>
      <c r="L11" s="152">
        <f t="shared" ref="L11" si="12">SUM(J11:K11)</f>
        <v>0</v>
      </c>
      <c r="M11" s="155">
        <f t="shared" si="1"/>
        <v>0</v>
      </c>
      <c r="N11" s="90">
        <f t="shared" si="5"/>
        <v>0</v>
      </c>
      <c r="O11" s="187" t="s">
        <v>199</v>
      </c>
      <c r="P11" s="188">
        <f t="shared" si="2"/>
        <v>0</v>
      </c>
      <c r="Q11" s="189">
        <v>43213</v>
      </c>
      <c r="R11" s="190">
        <f>+S11/2080</f>
        <v>42.839999999999996</v>
      </c>
      <c r="S11" s="191">
        <v>89107.199999999997</v>
      </c>
      <c r="T11" s="197">
        <f t="shared" si="3"/>
        <v>93562.559999999998</v>
      </c>
      <c r="U11" s="198">
        <f t="shared" si="7"/>
        <v>44.981999999999999</v>
      </c>
      <c r="W11" s="90" t="s">
        <v>51</v>
      </c>
    </row>
    <row r="12" spans="1:24" x14ac:dyDescent="0.25">
      <c r="A12" s="359"/>
      <c r="B12" s="359"/>
      <c r="C12" s="360"/>
      <c r="D12" s="361"/>
      <c r="E12" s="362"/>
      <c r="F12" s="88">
        <f>(C12*E12)</f>
        <v>0</v>
      </c>
      <c r="G12" s="88">
        <f>(D12*F12)</f>
        <v>0</v>
      </c>
      <c r="H12" s="152">
        <f>SUM(F12:G12)</f>
        <v>0</v>
      </c>
      <c r="I12" s="362"/>
      <c r="J12" s="88">
        <f t="shared" si="4"/>
        <v>0</v>
      </c>
      <c r="K12" s="88">
        <f t="shared" si="0"/>
        <v>0</v>
      </c>
      <c r="L12" s="152">
        <f>SUM(J12:K12)</f>
        <v>0</v>
      </c>
      <c r="M12" s="155">
        <f t="shared" si="1"/>
        <v>0</v>
      </c>
      <c r="N12" s="90">
        <f t="shared" si="5"/>
        <v>0</v>
      </c>
      <c r="O12" s="187" t="s">
        <v>210</v>
      </c>
      <c r="P12" s="188">
        <f t="shared" si="2"/>
        <v>0</v>
      </c>
      <c r="Q12" s="189">
        <v>44515</v>
      </c>
      <c r="R12" s="190">
        <f t="shared" ref="R12:R13" si="13">+S12/2080</f>
        <v>43</v>
      </c>
      <c r="S12" s="191">
        <v>89440</v>
      </c>
      <c r="T12" s="197">
        <f t="shared" si="3"/>
        <v>93912</v>
      </c>
      <c r="U12" s="198">
        <f t="shared" si="7"/>
        <v>45.15</v>
      </c>
      <c r="W12" s="90" t="s">
        <v>51</v>
      </c>
    </row>
    <row r="13" spans="1:24" x14ac:dyDescent="0.25">
      <c r="A13" s="359"/>
      <c r="B13" s="359"/>
      <c r="C13" s="360"/>
      <c r="D13" s="361"/>
      <c r="E13" s="362"/>
      <c r="F13" s="88">
        <f>(C13*E13)</f>
        <v>0</v>
      </c>
      <c r="G13" s="88">
        <f>(D13*F13)</f>
        <v>0</v>
      </c>
      <c r="H13" s="152">
        <f>SUM(F13:G13)</f>
        <v>0</v>
      </c>
      <c r="I13" s="362"/>
      <c r="J13" s="88">
        <f t="shared" si="4"/>
        <v>0</v>
      </c>
      <c r="K13" s="88">
        <f t="shared" si="0"/>
        <v>0</v>
      </c>
      <c r="L13" s="152">
        <f>SUM(J13:K13)</f>
        <v>0</v>
      </c>
      <c r="M13" s="155">
        <f t="shared" si="1"/>
        <v>0</v>
      </c>
      <c r="N13" s="90">
        <f t="shared" si="5"/>
        <v>0</v>
      </c>
      <c r="O13" s="187" t="s">
        <v>200</v>
      </c>
      <c r="P13" s="188">
        <f t="shared" si="2"/>
        <v>0</v>
      </c>
      <c r="Q13" s="189">
        <v>39666</v>
      </c>
      <c r="R13" s="190">
        <f t="shared" si="13"/>
        <v>29.001509615384617</v>
      </c>
      <c r="S13" s="191">
        <v>60323.14</v>
      </c>
      <c r="T13" s="197">
        <f t="shared" si="3"/>
        <v>63339.296999999999</v>
      </c>
      <c r="U13" s="198">
        <f t="shared" si="7"/>
        <v>30.451585096153845</v>
      </c>
      <c r="W13" s="90" t="s">
        <v>51</v>
      </c>
    </row>
    <row r="14" spans="1:24" ht="13.8" thickBot="1" x14ac:dyDescent="0.3">
      <c r="A14" s="363"/>
      <c r="B14" s="364"/>
      <c r="C14" s="365"/>
      <c r="D14" s="366"/>
      <c r="E14" s="367"/>
      <c r="F14" s="292"/>
      <c r="G14" s="292"/>
      <c r="H14" s="293"/>
      <c r="I14" s="367"/>
      <c r="J14" s="292"/>
      <c r="K14" s="292"/>
      <c r="L14" s="293"/>
      <c r="M14" s="294"/>
      <c r="N14" s="90"/>
      <c r="O14" s="295"/>
      <c r="P14" s="90"/>
      <c r="Q14" s="296"/>
      <c r="R14" s="297"/>
      <c r="S14" s="298"/>
      <c r="T14" s="299"/>
      <c r="U14" s="299"/>
      <c r="W14" s="90"/>
    </row>
    <row r="15" spans="1:24" ht="13.8" thickBot="1" x14ac:dyDescent="0.3">
      <c r="A15" s="92"/>
      <c r="B15" s="192" t="s">
        <v>115</v>
      </c>
      <c r="C15" s="229">
        <f>SUM(C8:C13)</f>
        <v>0</v>
      </c>
      <c r="D15" s="192"/>
      <c r="E15" s="149">
        <f t="shared" ref="E15:M15" si="14">SUM(E8:E13)</f>
        <v>0</v>
      </c>
      <c r="F15" s="93">
        <f t="shared" si="14"/>
        <v>0</v>
      </c>
      <c r="G15" s="93">
        <f t="shared" si="14"/>
        <v>0</v>
      </c>
      <c r="H15" s="153">
        <f t="shared" si="14"/>
        <v>0</v>
      </c>
      <c r="I15" s="149">
        <f t="shared" si="14"/>
        <v>0</v>
      </c>
      <c r="J15" s="93">
        <f t="shared" si="14"/>
        <v>0</v>
      </c>
      <c r="K15" s="93">
        <f t="shared" si="14"/>
        <v>0</v>
      </c>
      <c r="L15" s="153">
        <f t="shared" si="14"/>
        <v>0</v>
      </c>
      <c r="M15" s="200">
        <f t="shared" si="14"/>
        <v>0</v>
      </c>
      <c r="N15" s="201">
        <f>+M15-445358</f>
        <v>-445358</v>
      </c>
      <c r="X15" s="61">
        <f>SUM(G15+K15)</f>
        <v>0</v>
      </c>
    </row>
    <row r="16" spans="1:24" x14ac:dyDescent="0.25">
      <c r="A16" s="94" t="s">
        <v>116</v>
      </c>
      <c r="D16" s="95"/>
      <c r="H16" s="96"/>
      <c r="I16" s="97"/>
      <c r="K16" s="61" t="s">
        <v>51</v>
      </c>
      <c r="L16" s="98"/>
      <c r="M16" s="98"/>
    </row>
    <row r="17" spans="1:14" x14ac:dyDescent="0.25">
      <c r="A17" s="99" t="s">
        <v>117</v>
      </c>
      <c r="D17" s="95"/>
      <c r="H17" s="121"/>
      <c r="I17" s="100"/>
      <c r="L17" s="368"/>
      <c r="M17" s="89">
        <f>H17+L17</f>
        <v>0</v>
      </c>
    </row>
    <row r="18" spans="1:14" ht="13.8" thickBot="1" x14ac:dyDescent="0.3">
      <c r="A18" s="99" t="s">
        <v>118</v>
      </c>
      <c r="D18" s="95"/>
      <c r="H18" s="121"/>
      <c r="I18" s="100"/>
      <c r="L18" s="368"/>
      <c r="M18" s="89">
        <f t="shared" ref="M18" si="15">H18+L18</f>
        <v>0</v>
      </c>
    </row>
    <row r="19" spans="1:14" ht="13.8" thickBot="1" x14ac:dyDescent="0.3">
      <c r="A19" s="64"/>
      <c r="B19" s="101"/>
      <c r="C19" s="102"/>
      <c r="D19" s="103" t="s">
        <v>119</v>
      </c>
      <c r="E19" s="104"/>
      <c r="F19" s="102"/>
      <c r="G19" s="105"/>
      <c r="H19" s="106">
        <f>SUM(H16:H18)</f>
        <v>0</v>
      </c>
      <c r="I19" s="107"/>
      <c r="J19" s="102"/>
      <c r="K19" s="102"/>
      <c r="L19" s="106">
        <f>SUM(L16:L18)</f>
        <v>0</v>
      </c>
      <c r="M19" s="106">
        <f>SUM(M16:M18)</f>
        <v>0</v>
      </c>
      <c r="N19" s="201">
        <f>+M19-11000</f>
        <v>-11000</v>
      </c>
    </row>
    <row r="20" spans="1:14" x14ac:dyDescent="0.25">
      <c r="A20" s="94" t="s">
        <v>334</v>
      </c>
      <c r="B20" s="57"/>
      <c r="C20" s="59"/>
      <c r="D20" s="108"/>
      <c r="E20" s="109"/>
      <c r="F20" s="59"/>
      <c r="G20" s="59"/>
      <c r="H20" s="110"/>
      <c r="I20" s="94"/>
      <c r="J20" s="57"/>
      <c r="K20" s="111"/>
      <c r="L20" s="110"/>
      <c r="M20" s="110"/>
    </row>
    <row r="21" spans="1:14" s="57" customFormat="1" x14ac:dyDescent="0.25">
      <c r="A21" s="99"/>
      <c r="C21" s="59"/>
      <c r="D21" s="108"/>
      <c r="E21" s="109"/>
      <c r="F21" s="61"/>
      <c r="G21" s="61"/>
      <c r="H21" s="121"/>
      <c r="I21" s="99"/>
      <c r="J21" s="63"/>
      <c r="K21" s="112"/>
      <c r="L21" s="121"/>
      <c r="M21" s="89">
        <f>H21+L21</f>
        <v>0</v>
      </c>
    </row>
    <row r="22" spans="1:14" s="57" customFormat="1" x14ac:dyDescent="0.25">
      <c r="A22" s="99"/>
      <c r="C22" s="59"/>
      <c r="D22" s="108"/>
      <c r="E22" s="109"/>
      <c r="F22" s="61"/>
      <c r="G22" s="61"/>
      <c r="H22" s="121"/>
      <c r="I22" s="99"/>
      <c r="J22" s="63"/>
      <c r="K22" s="112"/>
      <c r="L22" s="121"/>
      <c r="M22" s="89">
        <f>H22+L22</f>
        <v>0</v>
      </c>
    </row>
    <row r="23" spans="1:14" s="57" customFormat="1" x14ac:dyDescent="0.25">
      <c r="A23" s="99"/>
      <c r="C23" s="59"/>
      <c r="D23" s="108"/>
      <c r="E23" s="109"/>
      <c r="F23" s="61"/>
      <c r="G23" s="61"/>
      <c r="H23" s="121"/>
      <c r="I23" s="99"/>
      <c r="J23" s="63"/>
      <c r="K23" s="112"/>
      <c r="L23" s="121"/>
      <c r="M23" s="89">
        <f>H23+L23</f>
        <v>0</v>
      </c>
    </row>
    <row r="24" spans="1:14" s="57" customFormat="1" x14ac:dyDescent="0.25">
      <c r="A24" s="99"/>
      <c r="C24" s="59"/>
      <c r="D24" s="108"/>
      <c r="E24" s="109"/>
      <c r="F24" s="61"/>
      <c r="G24" s="61"/>
      <c r="H24" s="121"/>
      <c r="I24" s="60"/>
      <c r="J24" s="61"/>
      <c r="K24" s="61"/>
      <c r="L24" s="121"/>
      <c r="M24" s="89">
        <f>H24+L24</f>
        <v>0</v>
      </c>
    </row>
    <row r="25" spans="1:14" s="57" customFormat="1" x14ac:dyDescent="0.25">
      <c r="A25" s="99" t="s">
        <v>51</v>
      </c>
      <c r="C25" s="59"/>
      <c r="D25" s="108"/>
      <c r="E25" s="109"/>
      <c r="F25" s="61"/>
      <c r="G25" s="61"/>
      <c r="H25" s="121"/>
      <c r="I25" s="60"/>
      <c r="J25" s="61"/>
      <c r="K25" s="61"/>
      <c r="L25" s="121"/>
      <c r="M25" s="89">
        <f>H25+L25</f>
        <v>0</v>
      </c>
    </row>
    <row r="26" spans="1:14" s="57" customFormat="1" x14ac:dyDescent="0.25">
      <c r="A26" s="64" t="s">
        <v>51</v>
      </c>
      <c r="B26" s="101"/>
      <c r="C26" s="59"/>
      <c r="D26" s="103" t="s">
        <v>121</v>
      </c>
      <c r="E26" s="104" t="s">
        <v>51</v>
      </c>
      <c r="F26" s="102"/>
      <c r="G26" s="102"/>
      <c r="H26" s="106">
        <f>SUM(H20:H25)</f>
        <v>0</v>
      </c>
      <c r="I26" s="104"/>
      <c r="J26" s="102"/>
      <c r="K26" s="102"/>
      <c r="L26" s="106">
        <f>SUM(L20:L25)</f>
        <v>0</v>
      </c>
      <c r="M26" s="106">
        <f>SUM(M20:M25)</f>
        <v>0</v>
      </c>
    </row>
    <row r="27" spans="1:14" s="57" customFormat="1" x14ac:dyDescent="0.25">
      <c r="A27" s="94" t="s">
        <v>286</v>
      </c>
      <c r="B27" s="63"/>
      <c r="C27" s="71"/>
      <c r="D27" s="95"/>
      <c r="E27" s="60"/>
      <c r="F27" s="61"/>
      <c r="G27" s="61"/>
      <c r="H27" s="98"/>
      <c r="I27" s="94"/>
      <c r="J27" s="61"/>
      <c r="K27" s="61"/>
      <c r="L27" s="98"/>
      <c r="M27" s="98"/>
    </row>
    <row r="28" spans="1:14" s="57" customFormat="1" x14ac:dyDescent="0.25">
      <c r="A28" s="99" t="s">
        <v>283</v>
      </c>
      <c r="B28" s="233">
        <v>18</v>
      </c>
      <c r="C28" s="63" t="s">
        <v>122</v>
      </c>
      <c r="D28" s="95"/>
      <c r="E28" s="60"/>
      <c r="F28" s="61"/>
      <c r="G28" s="61"/>
      <c r="H28" s="368"/>
      <c r="I28" s="99"/>
      <c r="J28" s="61"/>
      <c r="K28" s="61"/>
      <c r="L28" s="368"/>
      <c r="M28" s="89">
        <f t="shared" ref="M28:M32" si="16">H28+L28</f>
        <v>0</v>
      </c>
    </row>
    <row r="29" spans="1:14" x14ac:dyDescent="0.25">
      <c r="A29" s="99" t="s">
        <v>283</v>
      </c>
      <c r="B29" s="233">
        <v>18</v>
      </c>
      <c r="C29" s="63" t="s">
        <v>123</v>
      </c>
      <c r="D29" s="95"/>
      <c r="H29" s="368"/>
      <c r="L29" s="368"/>
      <c r="M29" s="89">
        <f t="shared" si="16"/>
        <v>0</v>
      </c>
    </row>
    <row r="30" spans="1:14" x14ac:dyDescent="0.25">
      <c r="A30" s="99" t="s">
        <v>285</v>
      </c>
      <c r="D30" s="95"/>
      <c r="H30" s="247"/>
      <c r="L30" s="368"/>
      <c r="M30" s="89">
        <f t="shared" si="16"/>
        <v>0</v>
      </c>
    </row>
    <row r="31" spans="1:14" x14ac:dyDescent="0.25">
      <c r="A31" s="99"/>
      <c r="D31" s="95"/>
      <c r="H31" s="368"/>
      <c r="L31" s="368"/>
      <c r="M31" s="89">
        <f t="shared" si="16"/>
        <v>0</v>
      </c>
    </row>
    <row r="32" spans="1:14" ht="13.8" thickBot="1" x14ac:dyDescent="0.3">
      <c r="A32" s="99" t="s">
        <v>120</v>
      </c>
      <c r="D32" s="95"/>
      <c r="H32" s="368"/>
      <c r="L32" s="368">
        <v>0</v>
      </c>
      <c r="M32" s="89">
        <f t="shared" si="16"/>
        <v>0</v>
      </c>
    </row>
    <row r="33" spans="1:15" ht="13.8" thickBot="1" x14ac:dyDescent="0.3">
      <c r="A33" s="64"/>
      <c r="B33" s="101"/>
      <c r="C33" s="102"/>
      <c r="D33" s="103" t="s">
        <v>287</v>
      </c>
      <c r="E33" s="104"/>
      <c r="F33" s="102"/>
      <c r="G33" s="102"/>
      <c r="H33" s="106">
        <f>SUM(H27:H32)</f>
        <v>0</v>
      </c>
      <c r="I33" s="104"/>
      <c r="J33" s="102"/>
      <c r="K33" s="102"/>
      <c r="L33" s="106">
        <f>SUM(L27:L32)</f>
        <v>0</v>
      </c>
      <c r="M33" s="106">
        <f>SUM(M27:M32)</f>
        <v>0</v>
      </c>
      <c r="N33" s="201">
        <f>+M33-33000</f>
        <v>-33000</v>
      </c>
    </row>
    <row r="34" spans="1:15" s="57" customFormat="1" x14ac:dyDescent="0.25">
      <c r="A34" s="94" t="s">
        <v>124</v>
      </c>
      <c r="B34" s="63"/>
      <c r="C34" s="71"/>
      <c r="D34" s="95"/>
      <c r="E34" s="60"/>
      <c r="F34" s="61"/>
      <c r="G34" s="61"/>
      <c r="H34" s="98"/>
      <c r="K34" s="111"/>
      <c r="L34" s="98"/>
      <c r="M34" s="98"/>
    </row>
    <row r="35" spans="1:15" s="57" customFormat="1" x14ac:dyDescent="0.25">
      <c r="A35" s="99" t="s">
        <v>125</v>
      </c>
      <c r="B35" s="63"/>
      <c r="C35" s="61"/>
      <c r="D35" s="95"/>
      <c r="E35" s="60"/>
      <c r="F35" s="61"/>
      <c r="G35" s="61"/>
      <c r="H35" s="121"/>
      <c r="I35" s="99"/>
      <c r="J35" s="63"/>
      <c r="K35" s="112"/>
      <c r="L35" s="368"/>
      <c r="M35" s="89">
        <f>+H35+L35</f>
        <v>0</v>
      </c>
    </row>
    <row r="36" spans="1:15" x14ac:dyDescent="0.25">
      <c r="A36" s="99" t="s">
        <v>126</v>
      </c>
      <c r="D36" s="95"/>
      <c r="H36" s="121"/>
      <c r="I36" s="99"/>
      <c r="J36" s="63"/>
      <c r="K36" s="112"/>
      <c r="L36" s="368"/>
      <c r="M36" s="89">
        <f t="shared" ref="M36:M37" si="17">H36+L36</f>
        <v>0</v>
      </c>
    </row>
    <row r="37" spans="1:15" x14ac:dyDescent="0.25">
      <c r="A37" s="99" t="s">
        <v>213</v>
      </c>
      <c r="D37" s="95"/>
      <c r="H37" s="121"/>
      <c r="L37" s="368"/>
      <c r="M37" s="89">
        <f t="shared" si="17"/>
        <v>0</v>
      </c>
    </row>
    <row r="38" spans="1:15" x14ac:dyDescent="0.25">
      <c r="A38" s="99" t="s">
        <v>213</v>
      </c>
      <c r="D38" s="95"/>
      <c r="H38" s="121"/>
      <c r="L38" s="368"/>
      <c r="M38" s="89">
        <v>15000</v>
      </c>
    </row>
    <row r="39" spans="1:15" ht="13.8" thickBot="1" x14ac:dyDescent="0.3">
      <c r="A39" s="99" t="s">
        <v>120</v>
      </c>
      <c r="D39" s="95"/>
      <c r="H39" s="121"/>
      <c r="L39" s="368"/>
      <c r="M39" s="89"/>
    </row>
    <row r="40" spans="1:15" ht="13.8" thickBot="1" x14ac:dyDescent="0.3">
      <c r="A40" s="64"/>
      <c r="B40" s="101"/>
      <c r="C40" s="102"/>
      <c r="D40" s="103" t="s">
        <v>127</v>
      </c>
      <c r="E40" s="104"/>
      <c r="F40" s="102"/>
      <c r="G40" s="102"/>
      <c r="H40" s="106">
        <f>SUM(H34:H38)</f>
        <v>0</v>
      </c>
      <c r="I40" s="104"/>
      <c r="J40" s="102"/>
      <c r="K40" s="102"/>
      <c r="L40" s="106">
        <f>SUM(L34:L39)</f>
        <v>0</v>
      </c>
      <c r="M40" s="106">
        <f>SUM(M34:M38)</f>
        <v>15000</v>
      </c>
      <c r="N40" s="201">
        <f>+M40-19000</f>
        <v>-4000</v>
      </c>
    </row>
    <row r="41" spans="1:15" x14ac:dyDescent="0.25">
      <c r="A41" s="94" t="s">
        <v>128</v>
      </c>
      <c r="B41" s="57"/>
      <c r="C41" s="59"/>
      <c r="D41" s="108"/>
      <c r="E41" s="109"/>
      <c r="F41" s="59"/>
      <c r="G41" s="59"/>
      <c r="H41" s="113"/>
      <c r="I41" s="94"/>
      <c r="J41" s="59"/>
      <c r="K41" s="59"/>
      <c r="L41" s="110"/>
      <c r="M41" s="110"/>
      <c r="O41" s="114"/>
    </row>
    <row r="42" spans="1:15" x14ac:dyDescent="0.25">
      <c r="A42" s="99" t="s">
        <v>129</v>
      </c>
      <c r="B42" s="57"/>
      <c r="C42" s="59"/>
      <c r="D42" s="108"/>
      <c r="E42" s="109"/>
      <c r="F42" s="59"/>
      <c r="G42" s="59"/>
      <c r="H42" s="121"/>
      <c r="I42" s="94"/>
      <c r="J42" s="59"/>
      <c r="K42" s="59"/>
      <c r="L42" s="368"/>
      <c r="M42" s="89">
        <f t="shared" ref="M42:M48" si="18">H42+L42</f>
        <v>0</v>
      </c>
      <c r="O42" s="114"/>
    </row>
    <row r="43" spans="1:15" x14ac:dyDescent="0.25">
      <c r="A43" s="99" t="s">
        <v>130</v>
      </c>
      <c r="C43" s="63"/>
      <c r="D43" s="95"/>
      <c r="H43" s="121"/>
      <c r="I43" s="99"/>
      <c r="L43" s="368"/>
      <c r="M43" s="89">
        <f t="shared" si="18"/>
        <v>0</v>
      </c>
      <c r="O43" s="115"/>
    </row>
    <row r="44" spans="1:15" s="57" customFormat="1" x14ac:dyDescent="0.25">
      <c r="A44" s="99" t="s">
        <v>131</v>
      </c>
      <c r="B44" s="63"/>
      <c r="D44" s="95"/>
      <c r="E44" s="60"/>
      <c r="F44" s="61"/>
      <c r="G44" s="61"/>
      <c r="H44" s="121"/>
      <c r="I44" s="99"/>
      <c r="J44" s="61"/>
      <c r="K44" s="61"/>
      <c r="L44" s="368"/>
      <c r="M44" s="89">
        <f>H44+L44</f>
        <v>0</v>
      </c>
      <c r="O44" s="115"/>
    </row>
    <row r="45" spans="1:15" s="57" customFormat="1" x14ac:dyDescent="0.25">
      <c r="A45" s="99" t="s">
        <v>132</v>
      </c>
      <c r="B45" s="63"/>
      <c r="D45" s="95"/>
      <c r="E45" s="60"/>
      <c r="F45" s="61"/>
      <c r="G45" s="61"/>
      <c r="H45" s="121"/>
      <c r="I45" s="99"/>
      <c r="J45" s="61"/>
      <c r="K45" s="61"/>
      <c r="L45" s="368"/>
      <c r="M45" s="89">
        <f>H45+L45</f>
        <v>0</v>
      </c>
      <c r="N45" s="116"/>
      <c r="O45" s="115"/>
    </row>
    <row r="46" spans="1:15" s="57" customFormat="1" x14ac:dyDescent="0.25">
      <c r="A46" s="99" t="s">
        <v>133</v>
      </c>
      <c r="B46" s="63"/>
      <c r="D46" s="95"/>
      <c r="E46" s="60"/>
      <c r="F46" s="61"/>
      <c r="G46" s="61"/>
      <c r="H46" s="121"/>
      <c r="I46" s="99"/>
      <c r="J46" s="61"/>
      <c r="K46" s="61"/>
      <c r="L46" s="368"/>
      <c r="M46" s="89">
        <f t="shared" si="18"/>
        <v>0</v>
      </c>
      <c r="O46" s="115"/>
    </row>
    <row r="47" spans="1:15" x14ac:dyDescent="0.25">
      <c r="A47" s="99" t="s">
        <v>134</v>
      </c>
      <c r="C47" s="63"/>
      <c r="D47" s="95"/>
      <c r="H47" s="121"/>
      <c r="I47" s="99"/>
      <c r="L47" s="368"/>
      <c r="M47" s="89">
        <f>H47+L47</f>
        <v>0</v>
      </c>
      <c r="N47" s="117"/>
      <c r="O47" s="115"/>
    </row>
    <row r="48" spans="1:15" x14ac:dyDescent="0.25">
      <c r="A48" s="99" t="s">
        <v>135</v>
      </c>
      <c r="C48" s="63"/>
      <c r="D48" s="95"/>
      <c r="H48" s="121"/>
      <c r="I48" s="99"/>
      <c r="L48" s="368"/>
      <c r="M48" s="89">
        <f t="shared" si="18"/>
        <v>0</v>
      </c>
      <c r="N48" s="117"/>
      <c r="O48" s="115"/>
    </row>
    <row r="49" spans="1:15" x14ac:dyDescent="0.25">
      <c r="A49" s="99" t="s">
        <v>136</v>
      </c>
      <c r="C49" s="63"/>
      <c r="D49" s="95"/>
      <c r="H49" s="121"/>
      <c r="I49" s="99"/>
      <c r="L49" s="368"/>
      <c r="M49" s="89">
        <f>H49+L49</f>
        <v>0</v>
      </c>
      <c r="N49" s="117"/>
      <c r="O49" s="115"/>
    </row>
    <row r="50" spans="1:15" s="57" customFormat="1" x14ac:dyDescent="0.25">
      <c r="A50" s="99" t="s">
        <v>137</v>
      </c>
      <c r="B50" s="63"/>
      <c r="D50" s="95"/>
      <c r="E50" s="60"/>
      <c r="F50" s="61"/>
      <c r="G50" s="61"/>
      <c r="H50" s="121"/>
      <c r="I50" s="99"/>
      <c r="J50" s="61"/>
      <c r="K50" s="61"/>
      <c r="L50" s="368"/>
      <c r="M50" s="89">
        <f t="shared" ref="M50" si="19">H50+L50</f>
        <v>0</v>
      </c>
      <c r="O50" s="115"/>
    </row>
    <row r="51" spans="1:15" s="57" customFormat="1" ht="13.8" thickBot="1" x14ac:dyDescent="0.3">
      <c r="A51" s="99" t="s">
        <v>335</v>
      </c>
      <c r="B51" s="63"/>
      <c r="C51" s="61"/>
      <c r="D51" s="95"/>
      <c r="E51" s="60"/>
      <c r="F51" s="61"/>
      <c r="G51" s="61"/>
      <c r="H51" s="121"/>
      <c r="I51" s="60"/>
      <c r="J51" s="61"/>
      <c r="K51" s="61"/>
      <c r="L51" s="368"/>
      <c r="M51" s="89"/>
    </row>
    <row r="52" spans="1:15" s="57" customFormat="1" ht="13.8" thickBot="1" x14ac:dyDescent="0.3">
      <c r="A52" s="64"/>
      <c r="B52" s="101"/>
      <c r="C52" s="102"/>
      <c r="D52" s="103" t="s">
        <v>138</v>
      </c>
      <c r="E52" s="104"/>
      <c r="F52" s="102"/>
      <c r="G52" s="102"/>
      <c r="H52" s="106">
        <f>SUM(H41:H51)</f>
        <v>0</v>
      </c>
      <c r="I52" s="104"/>
      <c r="J52" s="102"/>
      <c r="K52" s="102"/>
      <c r="L52" s="106">
        <f>SUM(L41:L51)</f>
        <v>0</v>
      </c>
      <c r="M52" s="106">
        <f>SUM(M41:M51)</f>
        <v>0</v>
      </c>
      <c r="N52" s="201">
        <f>+M52-74218</f>
        <v>-74218</v>
      </c>
    </row>
    <row r="53" spans="1:15" x14ac:dyDescent="0.25">
      <c r="A53" s="94" t="s">
        <v>139</v>
      </c>
      <c r="B53" s="57"/>
      <c r="C53" s="59"/>
      <c r="D53" s="108"/>
      <c r="E53" s="109"/>
      <c r="F53" s="59"/>
      <c r="G53" s="59"/>
      <c r="H53" s="118"/>
      <c r="I53" s="109"/>
      <c r="J53" s="59"/>
      <c r="K53" s="59"/>
      <c r="L53" s="118"/>
      <c r="M53" s="118"/>
      <c r="O53" s="114"/>
    </row>
    <row r="54" spans="1:15" x14ac:dyDescent="0.25">
      <c r="A54" s="119" t="s">
        <v>228</v>
      </c>
      <c r="B54" s="57"/>
      <c r="C54" s="59"/>
      <c r="D54" s="108"/>
      <c r="E54" s="109"/>
      <c r="F54" s="59"/>
      <c r="G54" s="59"/>
      <c r="H54" s="121"/>
      <c r="I54" s="99"/>
      <c r="L54" s="368"/>
      <c r="M54" s="89">
        <f t="shared" ref="M54" si="20">H54+L54</f>
        <v>0</v>
      </c>
      <c r="O54" s="114"/>
    </row>
    <row r="55" spans="1:15" x14ac:dyDescent="0.25">
      <c r="A55" s="99" t="s">
        <v>140</v>
      </c>
      <c r="B55" s="57"/>
      <c r="C55" s="59"/>
      <c r="D55" s="108"/>
      <c r="E55" s="109"/>
      <c r="F55" s="59"/>
      <c r="G55" s="59"/>
      <c r="H55" s="121"/>
      <c r="I55" s="99"/>
      <c r="L55" s="368"/>
      <c r="M55" s="89">
        <f>H55+L55</f>
        <v>0</v>
      </c>
      <c r="O55" s="114"/>
    </row>
    <row r="56" spans="1:15" x14ac:dyDescent="0.25">
      <c r="A56" s="99" t="s">
        <v>292</v>
      </c>
      <c r="D56" s="95"/>
      <c r="H56" s="121"/>
      <c r="I56" s="99"/>
      <c r="J56" s="63"/>
      <c r="L56" s="368"/>
      <c r="M56" s="89">
        <f t="shared" ref="M56:M57" si="21">H56+L56</f>
        <v>0</v>
      </c>
      <c r="N56" s="120"/>
    </row>
    <row r="57" spans="1:15" x14ac:dyDescent="0.25">
      <c r="A57" s="99" t="s">
        <v>248</v>
      </c>
      <c r="D57" s="95"/>
      <c r="H57" s="121"/>
      <c r="I57" s="99"/>
      <c r="J57" s="63"/>
      <c r="L57" s="368"/>
      <c r="M57" s="89">
        <f t="shared" si="21"/>
        <v>0</v>
      </c>
      <c r="N57" s="120"/>
    </row>
    <row r="58" spans="1:15" x14ac:dyDescent="0.25">
      <c r="A58" s="99" t="s">
        <v>141</v>
      </c>
      <c r="D58" s="95"/>
      <c r="H58" s="121"/>
      <c r="I58" s="99"/>
      <c r="L58" s="368"/>
      <c r="M58" s="89">
        <f>H58+L58</f>
        <v>0</v>
      </c>
      <c r="N58" s="120"/>
    </row>
    <row r="59" spans="1:15" s="57" customFormat="1" x14ac:dyDescent="0.25">
      <c r="A59" s="99" t="s">
        <v>249</v>
      </c>
      <c r="B59" s="63"/>
      <c r="C59" s="61"/>
      <c r="D59" s="95"/>
      <c r="E59" s="60"/>
      <c r="F59" s="61"/>
      <c r="G59" s="61"/>
      <c r="H59" s="121"/>
      <c r="I59" s="99"/>
      <c r="J59" s="63"/>
      <c r="K59" s="63"/>
      <c r="L59" s="368"/>
      <c r="M59" s="89">
        <f t="shared" ref="M59:M61" si="22">H59+L59</f>
        <v>0</v>
      </c>
    </row>
    <row r="60" spans="1:15" s="57" customFormat="1" x14ac:dyDescent="0.25">
      <c r="A60" s="99" t="s">
        <v>120</v>
      </c>
      <c r="B60" s="63"/>
      <c r="C60" s="61"/>
      <c r="D60" s="95"/>
      <c r="E60" s="60"/>
      <c r="F60" s="61"/>
      <c r="G60" s="61"/>
      <c r="H60" s="121"/>
      <c r="I60" s="99"/>
      <c r="J60" s="63"/>
      <c r="K60" s="63"/>
      <c r="L60" s="368"/>
      <c r="M60" s="89">
        <f t="shared" si="22"/>
        <v>0</v>
      </c>
    </row>
    <row r="61" spans="1:15" s="57" customFormat="1" ht="13.8" thickBot="1" x14ac:dyDescent="0.3">
      <c r="A61" s="99"/>
      <c r="B61" s="63"/>
      <c r="C61" s="61"/>
      <c r="D61" s="95"/>
      <c r="E61" s="60"/>
      <c r="F61" s="61"/>
      <c r="G61" s="61"/>
      <c r="H61" s="91"/>
      <c r="I61" s="63"/>
      <c r="J61" s="63"/>
      <c r="K61" s="63"/>
      <c r="L61" s="121"/>
      <c r="M61" s="89">
        <f t="shared" si="22"/>
        <v>0</v>
      </c>
    </row>
    <row r="62" spans="1:15" s="57" customFormat="1" ht="13.8" thickBot="1" x14ac:dyDescent="0.3">
      <c r="A62" s="64"/>
      <c r="B62" s="122"/>
      <c r="C62" s="59"/>
      <c r="D62" s="123" t="s">
        <v>142</v>
      </c>
      <c r="E62" s="109"/>
      <c r="F62" s="59"/>
      <c r="G62" s="59"/>
      <c r="H62" s="106">
        <f>SUM(H53:H60)</f>
        <v>0</v>
      </c>
      <c r="I62" s="104"/>
      <c r="J62" s="102"/>
      <c r="K62" s="102"/>
      <c r="L62" s="106">
        <f>SUM(L53:L61)</f>
        <v>0</v>
      </c>
      <c r="M62" s="106">
        <f>SUM(M53:M60)</f>
        <v>0</v>
      </c>
      <c r="N62" s="201">
        <f>+M62-102710</f>
        <v>-102710</v>
      </c>
    </row>
    <row r="63" spans="1:15" s="57" customFormat="1" x14ac:dyDescent="0.25">
      <c r="A63" s="124"/>
      <c r="B63" s="125"/>
      <c r="C63" s="54"/>
      <c r="D63" s="126" t="s">
        <v>143</v>
      </c>
      <c r="E63" s="55"/>
      <c r="F63" s="54"/>
      <c r="G63" s="54"/>
      <c r="H63" s="127">
        <f>H15+H19+H26+H33+H40+H52+H62</f>
        <v>0</v>
      </c>
      <c r="I63" s="128"/>
      <c r="J63" s="54"/>
      <c r="K63" s="54"/>
      <c r="L63" s="106">
        <f>L15+L19+L26+L33+L40+L52+L62</f>
        <v>0</v>
      </c>
      <c r="M63" s="106">
        <f>M15+M19+M26+M33+M40+M52+M62</f>
        <v>15000</v>
      </c>
    </row>
    <row r="64" spans="1:15" x14ac:dyDescent="0.25">
      <c r="A64" s="76"/>
      <c r="B64" s="57"/>
      <c r="C64" s="59"/>
      <c r="D64" s="123"/>
      <c r="E64" s="109"/>
      <c r="F64" s="59"/>
      <c r="G64" s="59"/>
      <c r="H64" s="78"/>
      <c r="I64" s="129"/>
      <c r="J64" s="59"/>
      <c r="K64" s="59"/>
      <c r="L64" s="59"/>
      <c r="M64" s="56"/>
    </row>
    <row r="65" spans="1:23" s="57" customFormat="1" ht="13.8" thickBot="1" x14ac:dyDescent="0.3">
      <c r="A65" s="76"/>
      <c r="C65" s="59"/>
      <c r="D65" s="123" t="s">
        <v>144</v>
      </c>
      <c r="E65" s="109"/>
      <c r="F65" s="59"/>
      <c r="G65" s="59"/>
      <c r="H65" s="130">
        <f>H63-H26</f>
        <v>0</v>
      </c>
      <c r="I65" s="129" t="s">
        <v>51</v>
      </c>
      <c r="J65" s="59"/>
      <c r="K65" s="59"/>
      <c r="L65" s="131"/>
      <c r="M65" s="130">
        <f>H65+L65</f>
        <v>0</v>
      </c>
    </row>
    <row r="66" spans="1:23" s="57" customFormat="1" ht="13.8" thickBot="1" x14ac:dyDescent="0.3">
      <c r="A66" s="76"/>
      <c r="C66" s="59"/>
      <c r="D66" s="123" t="s">
        <v>145</v>
      </c>
      <c r="E66" s="109"/>
      <c r="F66" s="59"/>
      <c r="G66" s="59"/>
      <c r="H66" s="130">
        <f>0.08*H65</f>
        <v>0</v>
      </c>
      <c r="I66" s="129" t="s">
        <v>51</v>
      </c>
      <c r="J66" s="59"/>
      <c r="K66" s="59"/>
      <c r="L66" s="131">
        <v>0</v>
      </c>
      <c r="M66" s="130">
        <f>H66+L66</f>
        <v>0</v>
      </c>
      <c r="N66" s="201">
        <f>+M66-6403</f>
        <v>-6403</v>
      </c>
    </row>
    <row r="67" spans="1:23" s="57" customFormat="1" ht="13.8" thickBot="1" x14ac:dyDescent="0.3">
      <c r="A67" s="76"/>
      <c r="B67" s="63"/>
      <c r="C67" s="61"/>
      <c r="D67" s="132"/>
      <c r="E67" s="60"/>
      <c r="F67" s="61"/>
      <c r="G67" s="61"/>
      <c r="H67" s="62"/>
      <c r="I67" s="133"/>
      <c r="J67" s="61"/>
      <c r="K67" s="61"/>
      <c r="L67" s="59"/>
      <c r="M67" s="62"/>
    </row>
    <row r="68" spans="1:23" s="57" customFormat="1" ht="13.8" thickBot="1" x14ac:dyDescent="0.3">
      <c r="A68" s="64"/>
      <c r="B68" s="134"/>
      <c r="C68" s="67"/>
      <c r="D68" s="103" t="s">
        <v>146</v>
      </c>
      <c r="E68" s="66"/>
      <c r="F68" s="67"/>
      <c r="G68" s="67"/>
      <c r="H68" s="130">
        <f>H63+H66</f>
        <v>0</v>
      </c>
      <c r="I68" s="135"/>
      <c r="J68" s="67"/>
      <c r="K68" s="67"/>
      <c r="L68" s="130">
        <f>L63+L66</f>
        <v>0</v>
      </c>
      <c r="M68" s="130">
        <f>M63+M66</f>
        <v>15000</v>
      </c>
      <c r="N68" s="202">
        <f>SUM(N15:N66)</f>
        <v>-676689</v>
      </c>
      <c r="W68" s="59" t="s">
        <v>51</v>
      </c>
    </row>
    <row r="69" spans="1:23" s="57" customFormat="1" x14ac:dyDescent="0.25">
      <c r="A69" s="63"/>
      <c r="C69" s="61"/>
      <c r="D69" s="100"/>
      <c r="E69" s="60"/>
      <c r="F69" s="61"/>
      <c r="G69" s="61"/>
      <c r="H69" s="61"/>
      <c r="I69" s="60"/>
      <c r="J69" s="61"/>
      <c r="K69" s="61"/>
      <c r="L69" s="61"/>
      <c r="M69" s="61"/>
    </row>
    <row r="70" spans="1:23" s="57" customFormat="1" x14ac:dyDescent="0.25">
      <c r="A70" s="63"/>
      <c r="B70" s="63"/>
      <c r="C70" s="61"/>
      <c r="D70" s="108" t="s">
        <v>147</v>
      </c>
      <c r="E70" s="60"/>
      <c r="F70" s="61"/>
      <c r="G70" s="61"/>
      <c r="H70" s="136">
        <f>SUM('Worksheet to Calc Budget'!E8)</f>
        <v>120579</v>
      </c>
      <c r="I70" s="60"/>
      <c r="J70" s="61"/>
      <c r="K70" s="61"/>
      <c r="L70" s="136">
        <f>SUM('Worksheet to Calc Budget'!E9)</f>
        <v>165110.74199999997</v>
      </c>
      <c r="M70" s="136">
        <f>'Worksheet to Calc Budget'!E6</f>
        <v>285689.74199999997</v>
      </c>
      <c r="N70" s="137"/>
    </row>
    <row r="71" spans="1:23" s="57" customFormat="1" x14ac:dyDescent="0.25">
      <c r="A71" s="63"/>
      <c r="B71" s="63"/>
      <c r="C71" s="61"/>
      <c r="D71" s="100"/>
      <c r="E71" s="60"/>
      <c r="F71" s="61"/>
      <c r="G71" s="61"/>
      <c r="H71" s="61"/>
      <c r="I71" s="60"/>
      <c r="J71" s="61"/>
      <c r="K71" s="61"/>
      <c r="L71" s="59"/>
      <c r="M71" s="61"/>
    </row>
    <row r="72" spans="1:23" x14ac:dyDescent="0.25">
      <c r="C72" s="61" t="s">
        <v>243</v>
      </c>
      <c r="H72" s="234">
        <f>+H68-H70</f>
        <v>-120579</v>
      </c>
      <c r="I72" s="235"/>
      <c r="J72" s="136"/>
      <c r="K72" s="136"/>
      <c r="L72" s="234">
        <f>+L68-L70</f>
        <v>-165110.74199999997</v>
      </c>
      <c r="N72" s="138"/>
    </row>
    <row r="73" spans="1:23" x14ac:dyDescent="0.25">
      <c r="B73" s="63" t="s">
        <v>148</v>
      </c>
      <c r="N73" s="203"/>
    </row>
    <row r="78" spans="1:23" x14ac:dyDescent="0.25">
      <c r="L78" s="174" t="s">
        <v>51</v>
      </c>
      <c r="M78" s="175" t="s">
        <v>51</v>
      </c>
    </row>
  </sheetData>
  <sheetProtection insertRows="0"/>
  <mergeCells count="5">
    <mergeCell ref="C1:H1"/>
    <mergeCell ref="C2:H2"/>
    <mergeCell ref="C3:H3"/>
    <mergeCell ref="E5:H5"/>
    <mergeCell ref="I5:L5"/>
  </mergeCells>
  <pageMargins left="0.7" right="0.7" top="1.4583333333333299" bottom="0.75" header="0.3" footer="0.3"/>
  <pageSetup scale="44" orientation="portrait" r:id="rId1"/>
  <headerFooter>
    <oddHeader>&amp;C&amp;8&amp;G&amp;11
&amp;D &amp;F
&amp;16 &amp;A</oddHeader>
    <oddFooter>&amp;CAzAHEC
&amp;D &amp;F
 &amp;A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85C25-124E-4A59-8E77-1FFA6FD9D232}">
  <sheetPr codeName="Sheet10">
    <tabColor theme="7"/>
    <pageSetUpPr fitToPage="1"/>
  </sheetPr>
  <dimension ref="A2:L75"/>
  <sheetViews>
    <sheetView tabSelected="1" view="pageLayout" zoomScale="90" zoomScaleNormal="90" zoomScalePageLayoutView="90" workbookViewId="0">
      <selection activeCell="D13" sqref="D13"/>
    </sheetView>
  </sheetViews>
  <sheetFormatPr defaultColWidth="8.77734375" defaultRowHeight="14.4" x14ac:dyDescent="0.3"/>
  <cols>
    <col min="1" max="1" width="16.77734375" customWidth="1"/>
    <col min="2" max="2" width="54.77734375" customWidth="1"/>
    <col min="3" max="3" width="14" style="10" customWidth="1"/>
    <col min="4" max="4" width="12.44140625" style="10" customWidth="1"/>
    <col min="5" max="5" width="15.77734375" customWidth="1"/>
    <col min="6" max="6" width="78.77734375" customWidth="1"/>
  </cols>
  <sheetData>
    <row r="2" spans="1:7" x14ac:dyDescent="0.3">
      <c r="A2" s="221" t="s">
        <v>149</v>
      </c>
    </row>
    <row r="3" spans="1:7" x14ac:dyDescent="0.3">
      <c r="A3" s="222" t="s">
        <v>222</v>
      </c>
    </row>
    <row r="4" spans="1:7" ht="105" customHeight="1" x14ac:dyDescent="0.3">
      <c r="A4" s="300" t="s">
        <v>244</v>
      </c>
      <c r="B4" s="23" t="s">
        <v>245</v>
      </c>
      <c r="C4" s="253" t="s">
        <v>255</v>
      </c>
      <c r="D4" s="253" t="s">
        <v>246</v>
      </c>
      <c r="E4" s="253" t="s">
        <v>247</v>
      </c>
      <c r="F4" s="253" t="s">
        <v>260</v>
      </c>
    </row>
    <row r="5" spans="1:7" x14ac:dyDescent="0.3">
      <c r="A5" s="481">
        <f>'Budget Template'!A8</f>
        <v>0</v>
      </c>
      <c r="B5" s="482">
        <f>'Budget Template'!B8</f>
        <v>0</v>
      </c>
      <c r="C5" s="484">
        <f>'Budget Template'!F8+'Budget Template'!J8</f>
        <v>0</v>
      </c>
      <c r="D5" s="485">
        <f>'Budget Template'!E8+'Budget Template'!I8</f>
        <v>0</v>
      </c>
      <c r="E5" s="369"/>
      <c r="F5" s="369" t="s">
        <v>294</v>
      </c>
    </row>
    <row r="6" spans="1:7" x14ac:dyDescent="0.3">
      <c r="A6" s="481">
        <f>'Budget Template'!A9</f>
        <v>0</v>
      </c>
      <c r="B6" s="482">
        <f>'Budget Template'!B9</f>
        <v>0</v>
      </c>
      <c r="C6" s="484">
        <f>'Budget Template'!F9+'Budget Template'!J9</f>
        <v>0</v>
      </c>
      <c r="D6" s="485">
        <f>'Budget Template'!E9+'Budget Template'!I9</f>
        <v>0</v>
      </c>
      <c r="E6" s="369"/>
      <c r="F6" s="369"/>
    </row>
    <row r="7" spans="1:7" x14ac:dyDescent="0.3">
      <c r="A7" s="481">
        <f>'Budget Template'!A10</f>
        <v>0</v>
      </c>
      <c r="B7" s="482">
        <f>'Budget Template'!B10</f>
        <v>0</v>
      </c>
      <c r="C7" s="484">
        <f>'Budget Template'!F10+'Budget Template'!J10</f>
        <v>0</v>
      </c>
      <c r="D7" s="485">
        <f>'Budget Template'!E10+'Budget Template'!I10</f>
        <v>0</v>
      </c>
      <c r="E7" s="369"/>
      <c r="F7" s="369"/>
    </row>
    <row r="8" spans="1:7" x14ac:dyDescent="0.3">
      <c r="A8" s="481">
        <f>'Budget Template'!A11</f>
        <v>0</v>
      </c>
      <c r="B8" s="482">
        <f>'Budget Template'!B11</f>
        <v>0</v>
      </c>
      <c r="C8" s="484">
        <f>'Budget Template'!F11+'Budget Template'!J11</f>
        <v>0</v>
      </c>
      <c r="D8" s="485">
        <f>'Budget Template'!E11+'Budget Template'!I11</f>
        <v>0</v>
      </c>
      <c r="E8" s="369"/>
      <c r="F8" s="369"/>
    </row>
    <row r="9" spans="1:7" x14ac:dyDescent="0.3">
      <c r="A9" s="481">
        <f>'Budget Template'!A12</f>
        <v>0</v>
      </c>
      <c r="B9" s="482">
        <f>'Budget Template'!B12</f>
        <v>0</v>
      </c>
      <c r="C9" s="484">
        <f>'Budget Template'!F12+'Budget Template'!J12</f>
        <v>0</v>
      </c>
      <c r="D9" s="485">
        <f>'Budget Template'!E12+'Budget Template'!I12</f>
        <v>0</v>
      </c>
      <c r="E9" s="369"/>
      <c r="F9" s="369"/>
    </row>
    <row r="10" spans="1:7" x14ac:dyDescent="0.3">
      <c r="A10" s="481">
        <f>'Budget Template'!A13</f>
        <v>0</v>
      </c>
      <c r="B10" s="482">
        <f>'Budget Template'!B13</f>
        <v>0</v>
      </c>
      <c r="C10" s="484">
        <f>'Budget Template'!F13+'Budget Template'!J13</f>
        <v>0</v>
      </c>
      <c r="D10" s="485">
        <f>'Budget Template'!E13+'Budget Template'!I13</f>
        <v>0</v>
      </c>
      <c r="E10" s="369"/>
      <c r="F10" s="369"/>
    </row>
    <row r="11" spans="1:7" x14ac:dyDescent="0.3">
      <c r="A11" s="483">
        <f>'Budget Template'!A14</f>
        <v>0</v>
      </c>
      <c r="B11" s="482">
        <f>'Budget Template'!B14</f>
        <v>0</v>
      </c>
      <c r="C11" s="484">
        <f>'Budget Template'!F14+'Budget Template'!J14</f>
        <v>0</v>
      </c>
      <c r="D11" s="485">
        <f>'Budget Template'!E14+'Budget Template'!I14</f>
        <v>0</v>
      </c>
      <c r="E11" s="369"/>
      <c r="F11" s="369"/>
    </row>
    <row r="12" spans="1:7" x14ac:dyDescent="0.3">
      <c r="A12" s="301"/>
      <c r="B12" s="23" t="s">
        <v>293</v>
      </c>
      <c r="C12" s="486">
        <f>SUM(C5:C11)</f>
        <v>0</v>
      </c>
      <c r="D12" s="247"/>
      <c r="E12" s="247"/>
      <c r="F12" s="369"/>
    </row>
    <row r="13" spans="1:7" x14ac:dyDescent="0.3">
      <c r="A13" s="301"/>
      <c r="B13" s="23" t="s">
        <v>258</v>
      </c>
      <c r="C13" s="487">
        <f>SUM(C12*0.28)</f>
        <v>0</v>
      </c>
      <c r="D13" s="247"/>
      <c r="E13" s="247"/>
      <c r="F13" s="369"/>
    </row>
    <row r="14" spans="1:7" x14ac:dyDescent="0.3">
      <c r="A14" s="301"/>
      <c r="B14" s="23"/>
      <c r="C14" s="253" t="s">
        <v>215</v>
      </c>
      <c r="D14" s="253" t="s">
        <v>256</v>
      </c>
      <c r="E14" s="163" t="s">
        <v>257</v>
      </c>
      <c r="F14" s="253" t="s">
        <v>261</v>
      </c>
    </row>
    <row r="15" spans="1:7" ht="17.100000000000001" customHeight="1" x14ac:dyDescent="0.3">
      <c r="A15" s="301"/>
      <c r="B15" s="248" t="s">
        <v>116</v>
      </c>
      <c r="C15" s="236"/>
      <c r="D15" s="236"/>
      <c r="E15" s="23"/>
      <c r="F15" s="370"/>
      <c r="G15" s="61"/>
    </row>
    <row r="16" spans="1:7" x14ac:dyDescent="0.3">
      <c r="A16" s="301"/>
      <c r="B16" s="225" t="s">
        <v>117</v>
      </c>
      <c r="C16" s="250">
        <f>SUM(D16:E16)</f>
        <v>0</v>
      </c>
      <c r="D16" s="247"/>
      <c r="E16" s="372">
        <f>'Budget Template'!L17</f>
        <v>0</v>
      </c>
      <c r="F16" s="370"/>
      <c r="G16" s="61"/>
    </row>
    <row r="17" spans="1:7" x14ac:dyDescent="0.3">
      <c r="A17" s="301"/>
      <c r="B17" s="225" t="s">
        <v>118</v>
      </c>
      <c r="C17" s="250">
        <f>SUM(D17:E17)</f>
        <v>0</v>
      </c>
      <c r="D17" s="247"/>
      <c r="E17" s="372">
        <f>'Budget Template'!L18</f>
        <v>0</v>
      </c>
      <c r="F17" s="371"/>
      <c r="G17" s="59"/>
    </row>
    <row r="18" spans="1:7" x14ac:dyDescent="0.3">
      <c r="A18" s="301"/>
      <c r="B18" s="248" t="s">
        <v>290</v>
      </c>
      <c r="F18" s="369"/>
    </row>
    <row r="19" spans="1:7" x14ac:dyDescent="0.3">
      <c r="A19" s="301"/>
      <c r="B19" s="225" t="s">
        <v>288</v>
      </c>
      <c r="C19" s="250">
        <f>SUM(D19:E19)</f>
        <v>0</v>
      </c>
      <c r="D19" s="372">
        <f>'Budget Template'!H28</f>
        <v>0</v>
      </c>
      <c r="E19" s="373">
        <f>'Budget Template'!L28</f>
        <v>0</v>
      </c>
      <c r="F19" s="369"/>
    </row>
    <row r="20" spans="1:7" x14ac:dyDescent="0.3">
      <c r="A20" s="301"/>
      <c r="B20" s="225" t="s">
        <v>289</v>
      </c>
      <c r="C20" s="250">
        <f>SUM(D20:E20)</f>
        <v>0</v>
      </c>
      <c r="D20" s="372">
        <f>'Budget Template'!H29</f>
        <v>0</v>
      </c>
      <c r="E20" s="373">
        <f>'Budget Template'!L29</f>
        <v>0</v>
      </c>
      <c r="F20" s="369"/>
    </row>
    <row r="21" spans="1:7" x14ac:dyDescent="0.3">
      <c r="A21" s="301"/>
      <c r="B21" s="225" t="s">
        <v>285</v>
      </c>
      <c r="C21" s="250"/>
      <c r="D21" s="247"/>
      <c r="E21" s="373">
        <v>2000</v>
      </c>
      <c r="F21" s="369"/>
    </row>
    <row r="22" spans="1:7" x14ac:dyDescent="0.3">
      <c r="A22" s="301"/>
      <c r="B22" s="248" t="s">
        <v>124</v>
      </c>
      <c r="C22" s="236"/>
      <c r="D22" s="23"/>
      <c r="E22" s="23"/>
      <c r="F22" s="369"/>
    </row>
    <row r="23" spans="1:7" x14ac:dyDescent="0.3">
      <c r="A23" s="301"/>
      <c r="B23" s="225" t="s">
        <v>125</v>
      </c>
      <c r="C23" s="250">
        <f t="shared" ref="C23:C26" si="0">SUM(D23:E23)</f>
        <v>0</v>
      </c>
      <c r="D23" s="247"/>
      <c r="E23" s="372">
        <f>'Budget Template'!L35</f>
        <v>0</v>
      </c>
      <c r="F23" s="369"/>
    </row>
    <row r="24" spans="1:7" x14ac:dyDescent="0.3">
      <c r="A24" s="301"/>
      <c r="B24" s="225" t="s">
        <v>126</v>
      </c>
      <c r="C24" s="250">
        <f t="shared" si="0"/>
        <v>0</v>
      </c>
      <c r="D24" s="247"/>
      <c r="E24" s="372">
        <f>'Budget Template'!L36</f>
        <v>0</v>
      </c>
      <c r="F24" s="369"/>
    </row>
    <row r="25" spans="1:7" x14ac:dyDescent="0.3">
      <c r="A25" s="301"/>
      <c r="B25" s="225" t="s">
        <v>262</v>
      </c>
      <c r="C25" s="250">
        <f t="shared" si="0"/>
        <v>0</v>
      </c>
      <c r="D25" s="247"/>
      <c r="E25" s="372">
        <f>'Budget Template'!L37</f>
        <v>0</v>
      </c>
      <c r="F25" s="369"/>
    </row>
    <row r="26" spans="1:7" x14ac:dyDescent="0.3">
      <c r="A26" s="301"/>
      <c r="B26" s="225" t="s">
        <v>263</v>
      </c>
      <c r="C26" s="250">
        <f t="shared" si="0"/>
        <v>0</v>
      </c>
      <c r="D26" s="247"/>
      <c r="E26" s="372">
        <f>'Budget Template'!L38</f>
        <v>0</v>
      </c>
      <c r="F26" s="369"/>
    </row>
    <row r="27" spans="1:7" x14ac:dyDescent="0.3">
      <c r="A27" s="301"/>
      <c r="B27" s="248" t="s">
        <v>128</v>
      </c>
      <c r="C27" s="23"/>
      <c r="D27" s="236"/>
      <c r="E27" s="23"/>
      <c r="F27" s="369"/>
    </row>
    <row r="28" spans="1:7" x14ac:dyDescent="0.3">
      <c r="A28" s="301"/>
      <c r="B28" s="225" t="s">
        <v>129</v>
      </c>
      <c r="C28" s="250">
        <f t="shared" ref="C28:C36" si="1">SUM(D28:E28)</f>
        <v>0</v>
      </c>
      <c r="D28" s="247"/>
      <c r="E28" s="372">
        <f>'Budget Template'!L42</f>
        <v>0</v>
      </c>
      <c r="F28" s="369"/>
    </row>
    <row r="29" spans="1:7" x14ac:dyDescent="0.3">
      <c r="A29" s="301"/>
      <c r="B29" s="225" t="s">
        <v>130</v>
      </c>
      <c r="C29" s="250">
        <f t="shared" si="1"/>
        <v>0</v>
      </c>
      <c r="D29" s="247"/>
      <c r="E29" s="372">
        <f>'Budget Template'!L43</f>
        <v>0</v>
      </c>
      <c r="F29" s="369"/>
    </row>
    <row r="30" spans="1:7" x14ac:dyDescent="0.3">
      <c r="A30" s="301"/>
      <c r="B30" s="225" t="s">
        <v>131</v>
      </c>
      <c r="C30" s="250">
        <f t="shared" si="1"/>
        <v>0</v>
      </c>
      <c r="D30" s="247"/>
      <c r="E30" s="372">
        <f>'Budget Template'!L44</f>
        <v>0</v>
      </c>
      <c r="F30" s="369"/>
    </row>
    <row r="31" spans="1:7" x14ac:dyDescent="0.3">
      <c r="A31" s="301"/>
      <c r="B31" s="225" t="s">
        <v>132</v>
      </c>
      <c r="C31" s="250">
        <f t="shared" si="1"/>
        <v>0</v>
      </c>
      <c r="D31" s="247"/>
      <c r="E31" s="372">
        <f>'Budget Template'!L45</f>
        <v>0</v>
      </c>
      <c r="F31" s="369"/>
    </row>
    <row r="32" spans="1:7" ht="13.05" customHeight="1" x14ac:dyDescent="0.3">
      <c r="A32" s="301"/>
      <c r="B32" s="225" t="s">
        <v>133</v>
      </c>
      <c r="C32" s="250">
        <f t="shared" si="1"/>
        <v>0</v>
      </c>
      <c r="D32" s="247"/>
      <c r="E32" s="372">
        <f>'Budget Template'!L46</f>
        <v>0</v>
      </c>
      <c r="F32" s="369"/>
    </row>
    <row r="33" spans="1:6" x14ac:dyDescent="0.3">
      <c r="A33" s="301"/>
      <c r="B33" s="225" t="s">
        <v>134</v>
      </c>
      <c r="C33" s="250">
        <f t="shared" si="1"/>
        <v>0</v>
      </c>
      <c r="D33" s="247"/>
      <c r="E33" s="372">
        <f>'Budget Template'!L47</f>
        <v>0</v>
      </c>
      <c r="F33" s="369"/>
    </row>
    <row r="34" spans="1:6" ht="14.1" customHeight="1" x14ac:dyDescent="0.3">
      <c r="A34" s="301"/>
      <c r="B34" s="225" t="s">
        <v>135</v>
      </c>
      <c r="C34" s="250">
        <f t="shared" si="1"/>
        <v>0</v>
      </c>
      <c r="D34" s="247"/>
      <c r="E34" s="372">
        <f>'Budget Template'!L48</f>
        <v>0</v>
      </c>
      <c r="F34" s="369"/>
    </row>
    <row r="35" spans="1:6" x14ac:dyDescent="0.3">
      <c r="A35" s="301"/>
      <c r="B35" s="225" t="s">
        <v>136</v>
      </c>
      <c r="C35" s="250">
        <f t="shared" si="1"/>
        <v>0</v>
      </c>
      <c r="D35" s="247"/>
      <c r="E35" s="372">
        <f>'Budget Template'!L49</f>
        <v>0</v>
      </c>
      <c r="F35" s="369"/>
    </row>
    <row r="36" spans="1:6" ht="14.1" customHeight="1" x14ac:dyDescent="0.3">
      <c r="A36" s="301"/>
      <c r="B36" s="225" t="s">
        <v>137</v>
      </c>
      <c r="C36" s="250">
        <f t="shared" si="1"/>
        <v>0</v>
      </c>
      <c r="D36" s="247"/>
      <c r="E36" s="372">
        <f>'Budget Template'!L50</f>
        <v>0</v>
      </c>
      <c r="F36" s="369"/>
    </row>
    <row r="37" spans="1:6" x14ac:dyDescent="0.3">
      <c r="A37" s="301"/>
      <c r="B37" s="249"/>
      <c r="C37" s="23"/>
      <c r="D37" s="236"/>
      <c r="E37" s="23"/>
      <c r="F37" s="369"/>
    </row>
    <row r="38" spans="1:6" x14ac:dyDescent="0.3">
      <c r="A38" s="301"/>
      <c r="B38" s="248" t="s">
        <v>139</v>
      </c>
      <c r="C38" s="23"/>
      <c r="D38" s="236"/>
      <c r="E38" s="23"/>
      <c r="F38" s="369"/>
    </row>
    <row r="39" spans="1:6" x14ac:dyDescent="0.3">
      <c r="A39" s="301"/>
      <c r="B39" s="173" t="s">
        <v>228</v>
      </c>
      <c r="C39" s="250">
        <f t="shared" ref="C39:C44" si="2">SUM(D39:E39)</f>
        <v>0</v>
      </c>
      <c r="D39" s="247"/>
      <c r="E39" s="372">
        <f>'Budget Template'!L54</f>
        <v>0</v>
      </c>
      <c r="F39" s="369"/>
    </row>
    <row r="40" spans="1:6" x14ac:dyDescent="0.3">
      <c r="A40" s="301"/>
      <c r="B40" s="225" t="s">
        <v>140</v>
      </c>
      <c r="C40" s="250">
        <f t="shared" si="2"/>
        <v>0</v>
      </c>
      <c r="D40" s="247"/>
      <c r="E40" s="372">
        <f>'Budget Template'!L55</f>
        <v>0</v>
      </c>
      <c r="F40" s="369"/>
    </row>
    <row r="41" spans="1:6" ht="16.05" customHeight="1" x14ac:dyDescent="0.3">
      <c r="A41" s="301"/>
      <c r="B41" s="225" t="s">
        <v>292</v>
      </c>
      <c r="C41" s="250">
        <f t="shared" si="2"/>
        <v>0</v>
      </c>
      <c r="D41" s="247"/>
      <c r="E41" s="372">
        <f>'Budget Template'!L56</f>
        <v>0</v>
      </c>
      <c r="F41" s="369"/>
    </row>
    <row r="42" spans="1:6" x14ac:dyDescent="0.3">
      <c r="A42" s="301"/>
      <c r="B42" s="225" t="s">
        <v>248</v>
      </c>
      <c r="C42" s="250">
        <f t="shared" si="2"/>
        <v>0</v>
      </c>
      <c r="D42" s="247"/>
      <c r="E42" s="372">
        <f>'Budget Template'!L57</f>
        <v>0</v>
      </c>
      <c r="F42" s="369"/>
    </row>
    <row r="43" spans="1:6" x14ac:dyDescent="0.3">
      <c r="A43" s="301"/>
      <c r="B43" s="225" t="s">
        <v>141</v>
      </c>
      <c r="C43" s="250">
        <f t="shared" si="2"/>
        <v>0</v>
      </c>
      <c r="D43" s="247"/>
      <c r="E43" s="372">
        <f>'Budget Template'!L58</f>
        <v>0</v>
      </c>
      <c r="F43" s="369"/>
    </row>
    <row r="44" spans="1:6" x14ac:dyDescent="0.3">
      <c r="A44" s="301"/>
      <c r="B44" s="225" t="s">
        <v>249</v>
      </c>
      <c r="C44" s="250">
        <f t="shared" si="2"/>
        <v>0</v>
      </c>
      <c r="D44" s="247"/>
      <c r="E44" s="372">
        <f>'Budget Template'!L59</f>
        <v>0</v>
      </c>
      <c r="F44" s="369"/>
    </row>
    <row r="45" spans="1:6" x14ac:dyDescent="0.3">
      <c r="A45" s="301"/>
      <c r="B45" s="251" t="s">
        <v>215</v>
      </c>
      <c r="C45" s="302">
        <f>SUM(C12:C44)</f>
        <v>0</v>
      </c>
      <c r="D45" s="302"/>
      <c r="E45" s="302"/>
      <c r="F45" s="303"/>
    </row>
    <row r="46" spans="1:6" x14ac:dyDescent="0.3">
      <c r="A46" s="301"/>
      <c r="B46" s="254" t="s">
        <v>266</v>
      </c>
      <c r="C46" s="304">
        <v>8915</v>
      </c>
      <c r="F46" s="303"/>
    </row>
    <row r="47" spans="1:6" x14ac:dyDescent="0.3">
      <c r="A47" s="301"/>
      <c r="B47" s="254" t="s">
        <v>267</v>
      </c>
      <c r="C47" s="304">
        <f>SUM(C46+C45)</f>
        <v>8915</v>
      </c>
      <c r="F47" s="303"/>
    </row>
    <row r="48" spans="1:6" x14ac:dyDescent="0.3">
      <c r="A48" s="305"/>
      <c r="B48" s="306"/>
      <c r="C48" s="307"/>
      <c r="D48" s="307"/>
      <c r="E48" s="306"/>
      <c r="F48" s="308"/>
    </row>
    <row r="67" spans="8:12" ht="29.25" customHeight="1" x14ac:dyDescent="0.3"/>
    <row r="73" spans="8:12" ht="27" customHeight="1" x14ac:dyDescent="0.3"/>
    <row r="74" spans="8:12" x14ac:dyDescent="0.3">
      <c r="H74" s="226"/>
      <c r="I74" s="226"/>
      <c r="J74" s="227"/>
      <c r="K74" s="227"/>
      <c r="L74" s="227"/>
    </row>
    <row r="75" spans="8:12" x14ac:dyDescent="0.3">
      <c r="H75" s="226"/>
      <c r="I75" s="226"/>
      <c r="J75" s="227"/>
      <c r="K75" s="227"/>
      <c r="L75" s="227"/>
    </row>
  </sheetData>
  <sheetProtection insertRows="0"/>
  <pageMargins left="0.7" right="0.7" top="1.4583333333333299" bottom="0.75" header="0.3" footer="0.3"/>
  <pageSetup scale="46" orientation="portrait" r:id="rId1"/>
  <headerFooter>
    <oddHeader>&amp;C&amp;8&amp;G&amp;11
&amp;D &amp;F
&amp;16 &amp;A</oddHeader>
    <oddFooter>&amp;CAzAHEC
&amp;D &amp;F
 &amp;A</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B b t v W k t A w O O k A A A A 9 g A A A B I A H A B D b 2 5 m a W c v U G F j a 2 F n Z S 5 4 b W w g o h g A K K A U A A A A A A A A A A A A A A A A A A A A A A A A A A A A h Y 9 B D o I w F E S v Q r q n L Y i J I Z + y c C u J C d G 4 J a V C I 3 w M L Z a 7 u f B I X k G M o u 5 c z p u 3 m L l f b 5 C O b e N d V G 9 0 h w k J K C e e Q t m V G q u E D P b o r 0 g q Y F v I U 1 E p b 5 L R x K M p E 1 J b e 4 4 Z c 8 5 R t 6 B d X 7 G Q 8 4 A d s k 0 u a 9 U W 5 C P r / 7 K v 0 d g C p S I C 9 q 8 x I q R B x G n E l 5 Q D m y F k G r 9 C O O 1 9 t j 8 Q 1 k N j h 1 4 J h f 4 u B z Z H Y O 8 P 4 g F Q S w M E F A A C A A g A B b t v 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W 7 b 1 o o i k e 4 D g A A A B E A A A A T A B w A R m 9 y b X V s Y X M v U 2 V j d G l v b j E u b S C i G A A o o B Q A A A A A A A A A A A A A A A A A A A A A A A A A A A A r T k 0 u y c z P U w i G 0 I b W A F B L A Q I t A B Q A A g A I A A W 7 b 1 p L Q M D j p A A A A P Y A A A A S A A A A A A A A A A A A A A A A A A A A A A B D b 2 5 m a W c v U G F j a 2 F n Z S 5 4 b W x Q S w E C L Q A U A A I A C A A F u 2 9 a D 8 r p q 6 Q A A A D p A A A A E w A A A A A A A A A A A A A A A A D w A A A A W 0 N v b n R l b n R f V H l w Z X N d L n h t b F B L A Q I t A B Q A A g A I A A W 7 b 1 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M 6 Q G z C W f t S a 6 q v A p g 8 4 z N A A A A A A I A A A A A A B B m A A A A A Q A A I A A A A B P A / y 3 B O c h Z B Q + 2 d 4 7 d 7 w K d X Q Q v A X Y 4 P 5 0 b w R 8 x o x g / A A A A A A 6 A A A A A A g A A I A A A A A 6 c B R G 8 I s 1 H T P 5 A T 1 C k g B I 8 A P f Q d v T f P E W x C 6 M O Q y o 4 U A A A A G m w K B u v L G m z 4 z L / C b 6 B w L K U M b t u h C d b W c B e U e 9 c 5 B m a I f b H Y d T 9 P m W y U L 9 5 T 2 v 8 I U r D x k 8 o n F l t J O 7 T E c l D A u i N y b U q 0 + 0 T 3 O f c s k l N t 2 9 o Q A A A A C l C f u v t a D 7 T b P F N v M / f t 7 n 9 h x M e R 2 D u 0 C E a O k d 9 U 5 S 6 j i t 5 Z i e M X 0 4 d l X c b 3 N b 9 Q V Z o 4 r w 4 b m H L q o S o 6 R U w 7 k M = < / D a t a M a s h u p > 
</file>

<file path=customXml/item2.xml><?xml version="1.0" encoding="utf-8"?>
<ct:contentTypeSchema xmlns:ct="http://schemas.microsoft.com/office/2006/metadata/contentType" xmlns:ma="http://schemas.microsoft.com/office/2006/metadata/properties/metaAttributes" ct:_="" ma:_="" ma:contentTypeName="Document" ma:contentTypeID="0x01010008BF6F6237A9CD4596CE6AD36839062C" ma:contentTypeVersion="20" ma:contentTypeDescription="Create a new document." ma:contentTypeScope="" ma:versionID="1a85a714ff13150cb65295cdf3fababc">
  <xsd:schema xmlns:xsd="http://www.w3.org/2001/XMLSchema" xmlns:xs="http://www.w3.org/2001/XMLSchema" xmlns:p="http://schemas.microsoft.com/office/2006/metadata/properties" xmlns:ns2="56496247-db85-4544-8f45-fec72be7f714" xmlns:ns3="79c44693-614c-4956-bf1e-3175e42ff3ac" targetNamespace="http://schemas.microsoft.com/office/2006/metadata/properties" ma:root="true" ma:fieldsID="6e21ebcfc8bdd058bb2d62e92b0b43b1" ns2:_="" ns3:_="">
    <xsd:import namespace="56496247-db85-4544-8f45-fec72be7f714"/>
    <xsd:import namespace="79c44693-614c-4956-bf1e-3175e42ff3a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LengthInSeconds" minOccurs="0"/>
                <xsd:element ref="ns2:Responses" minOccurs="0"/>
                <xsd:element ref="ns2:_x0046_Y24"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96247-db85-4544-8f45-fec72be7f7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Responses" ma:index="24" nillable="true" ma:displayName="Responses" ma:format="Dropdown" ma:internalName="Responses">
      <xsd:simpleType>
        <xsd:restriction base="dms:Text">
          <xsd:maxLength value="255"/>
        </xsd:restriction>
      </xsd:simpleType>
    </xsd:element>
    <xsd:element name="_x0046_Y24" ma:index="25" nillable="true" ma:displayName="FY 24" ma:format="Dropdown" ma:internalName="_x0046_Y24">
      <xsd:simpleType>
        <xsd:restriction base="dms:Text">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c44693-614c-4956-bf1e-3175e42ff3a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7cdb3a7-147b-4cfb-8bf3-ce62fad17580}" ma:internalName="TaxCatchAll" ma:showField="CatchAllData" ma:web="79c44693-614c-4956-bf1e-3175e42ff3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Responses xmlns="56496247-db85-4544-8f45-fec72be7f714" xsi:nil="true"/>
    <lcf76f155ced4ddcb4097134ff3c332f xmlns="56496247-db85-4544-8f45-fec72be7f714">
      <Terms xmlns="http://schemas.microsoft.com/office/infopath/2007/PartnerControls"/>
    </lcf76f155ced4ddcb4097134ff3c332f>
    <TaxCatchAll xmlns="79c44693-614c-4956-bf1e-3175e42ff3ac" xsi:nil="true"/>
    <_x0046_Y24 xmlns="56496247-db85-4544-8f45-fec72be7f714" xsi:nil="true"/>
  </documentManagement>
</p:properties>
</file>

<file path=customXml/itemProps1.xml><?xml version="1.0" encoding="utf-8"?>
<ds:datastoreItem xmlns:ds="http://schemas.openxmlformats.org/officeDocument/2006/customXml" ds:itemID="{EF528247-873D-45BD-8067-33F644755F7D}">
  <ds:schemaRefs>
    <ds:schemaRef ds:uri="http://schemas.microsoft.com/DataMashup"/>
  </ds:schemaRefs>
</ds:datastoreItem>
</file>

<file path=customXml/itemProps2.xml><?xml version="1.0" encoding="utf-8"?>
<ds:datastoreItem xmlns:ds="http://schemas.openxmlformats.org/officeDocument/2006/customXml" ds:itemID="{F1FA3030-CA41-4D9D-82E8-C668C20D702B}"/>
</file>

<file path=customXml/itemProps3.xml><?xml version="1.0" encoding="utf-8"?>
<ds:datastoreItem xmlns:ds="http://schemas.openxmlformats.org/officeDocument/2006/customXml" ds:itemID="{D8B78A0E-E327-48C6-87DE-A8986AE560BB}"/>
</file>

<file path=customXml/itemProps4.xml><?xml version="1.0" encoding="utf-8"?>
<ds:datastoreItem xmlns:ds="http://schemas.openxmlformats.org/officeDocument/2006/customXml" ds:itemID="{90BDB44B-FFE9-461B-875D-2A7CD404CE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Table of Contents</vt:lpstr>
      <vt:lpstr>Applicant Work Plan Checklist</vt:lpstr>
      <vt:lpstr>CBET SCHEDULE</vt:lpstr>
      <vt:lpstr>PERFORMANCE SCHEDULE</vt:lpstr>
      <vt:lpstr>ACTIVITIES SCHEDULE</vt:lpstr>
      <vt:lpstr>Applicant Workplan</vt:lpstr>
      <vt:lpstr>Goals and Budget Allocation</vt:lpstr>
      <vt:lpstr>Budget Template</vt:lpstr>
      <vt:lpstr>Budget Justification</vt:lpstr>
      <vt:lpstr>Worksheet to Calc Budget</vt:lpstr>
      <vt:lpstr>Lookup Tables- Do Not Modify</vt:lpstr>
      <vt:lpstr>'Applicant Work Plan Checklist'!_Hlk38194973</vt:lpstr>
      <vt:lpstr>'Budget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E - (jzuniga)</dc:creator>
  <cp:lastModifiedBy>Valenzuela, Marni - (marnir)</cp:lastModifiedBy>
  <cp:lastPrinted>2025-03-17T18:25:21Z</cp:lastPrinted>
  <dcterms:created xsi:type="dcterms:W3CDTF">2021-08-25T17:13:52Z</dcterms:created>
  <dcterms:modified xsi:type="dcterms:W3CDTF">2025-05-09T20:51:00Z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0x01010008BF6F6237A9CD4596CE6AD36839062C</vt:lpwstr>
  </property>
</Properties>
</file>